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الإعدادات" sheetId="1" state="visible" r:id="rId1"/>
    <sheet xmlns:r="http://schemas.openxmlformats.org/officeDocument/2006/relationships" name="كيف تستخدمه" sheetId="2" state="visible" r:id="rId2"/>
    <sheet xmlns:r="http://schemas.openxmlformats.org/officeDocument/2006/relationships" name="خطة الورديات" sheetId="3" state="visible" r:id="rId3"/>
    <sheet xmlns:r="http://schemas.openxmlformats.org/officeDocument/2006/relationships" name="الإجازات" sheetId="4" state="visible" r:id="rId4"/>
    <sheet xmlns:r="http://schemas.openxmlformats.org/officeDocument/2006/relationships" name="الشهر" sheetId="5" state="visible" r:id="rId5"/>
    <sheet xmlns:r="http://schemas.openxmlformats.org/officeDocument/2006/relationships" name="الأرصدة" sheetId="6" state="visible" r:id="rId6"/>
    <sheet xmlns:r="http://schemas.openxmlformats.org/officeDocument/2006/relationships" name="طباعة الأسبوع" sheetId="7" state="visible" r:id="rId7"/>
  </sheets>
  <definedNames>
    <definedName name="DayNames">'الإعدادات'!$B$8:$B$14</definedName>
    <definedName name="OpenDays">'الإعدادات'!$C$8:$C$14</definedName>
    <definedName name="Weekend">'الإعدادات'!$C$15</definedName>
    <definedName name="ShiftCodes">'الإعدادات'!$E$8:$E$15</definedName>
    <definedName name="ShiftNames">'الإعدادات'!$F$8:$F$15</definedName>
    <definedName name="Roles">'الإعدادات'!$K$8:$K$13</definedName>
    <definedName name="Branches">'الإعدادات'!$M$8:$M$12</definedName>
    <definedName name="LeaveTypes">'الإعدادات'!$O$8:$O$11</definedName>
    <definedName name="LeaveStatus">'الإعدادات'!$Q$8:$Q$10</definedName>
    <definedName name="Staff">'الإعدادات'!$A$19:$A$48</definedName>
    <definedName name="StaffRole">'الإعدادات'!$B$19:$B$48</definedName>
    <definedName name="StaffBranch">'الإعدادات'!$C$19:$C$48</definedName>
    <definedName name="StaffLimit">'الإعدادات'!$D$19:$D$48</definedName>
    <definedName name="StaffLeave">'الإعدادات'!$E$19:$E$48</definedName>
    <definedName name="StaffPhone">'الإعدادات'!$G$19:$G$48</definedName>
    <definedName name="StaffKey">'الإعدادات'!$H$19:$H$48</definedName>
    <definedName name="MinBranch">'الإعدادات'!$J$19:$J$38</definedName>
    <definedName name="MinShift">'الإعدادات'!$K$19:$K$38</definedName>
    <definedName name="MinRole">'الإعدادات'!$L$19:$L$38</definedName>
    <definedName name="MinCount">'الإعدادات'!$M$19:$M$38</definedName>
    <definedName name="LvStaff">'الإجازات'!$A$3:$A$302</definedName>
    <definedName name="LvType">'الإجازات'!$C$3:$C$302</definedName>
    <definedName name="LvFrom">'الإجازات'!$D$3:$D$302</definedName>
    <definedName name="LvTo">'الإجازات'!$E$3:$E$302</definedName>
    <definedName name="LvDays">'الإجازات'!$F$3:$F$302</definedName>
    <definedName name="LvStat">'الإجازات'!$H$3:$H$302</definedName>
    <definedName name="_xlnm.Print_Area" localSheetId="6">'طباعة الأسبوع'!$A$1:$K$20</definedName>
  </definedNames>
  <calcPr calcId="124519" fullCalcOnLoad="1"/>
</workbook>
</file>

<file path=xl/styles.xml><?xml version="1.0" encoding="utf-8"?>
<styleSheet xmlns="http://schemas.openxmlformats.org/spreadsheetml/2006/main">
  <numFmts count="7">
    <numFmt numFmtId="164" formatCode="yyyy-mm-dd"/>
    <numFmt numFmtId="165" formatCode="hh:mm"/>
    <numFmt numFmtId="166" formatCode="0.0%"/>
    <numFmt numFmtId="167" formatCode="0.##"/>
    <numFmt numFmtId="168" formatCode="d"/>
    <numFmt numFmtId="169" formatCode="mmmm yyyy"/>
    <numFmt numFmtId="170" formatCode="d/m"/>
  </numFmts>
  <fonts count="12">
    <font>
      <name val="Calibri"/>
      <family val="2"/>
      <color theme="1"/>
      <sz val="11"/>
      <scheme val="minor"/>
    </font>
    <font>
      <name val="Arial"/>
      <b val="1"/>
      <color rgb="00FFFFFF"/>
      <sz val="10"/>
    </font>
    <font>
      <name val="Arial"/>
      <color rgb="002C1636"/>
      <sz val="10"/>
    </font>
    <font>
      <name val="Arial"/>
      <b val="1"/>
      <color rgb="002C1636"/>
      <sz val="10"/>
    </font>
    <font>
      <name val="Arial"/>
      <i val="1"/>
      <color rgb="006B6170"/>
      <sz val="9"/>
    </font>
    <font>
      <name val="Arial"/>
      <b val="1"/>
      <color rgb="005B2A6E"/>
      <sz val="15"/>
    </font>
    <font>
      <name val="Arial"/>
      <color rgb="002C1636"/>
      <sz val="8"/>
    </font>
    <font>
      <name val="Arial"/>
      <color rgb="009A90A0"/>
      <sz val="7"/>
    </font>
    <font>
      <name val="Arial"/>
      <b val="1"/>
      <color rgb="005B2A6E"/>
      <sz val="14"/>
    </font>
    <font>
      <name val="Arial"/>
      <b val="1"/>
      <color rgb="005B2A6E"/>
      <sz val="10"/>
    </font>
    <font>
      <name val="Arial"/>
      <b val="1"/>
      <color rgb="002C1636"/>
      <sz val="12"/>
    </font>
    <font>
      <name val="Arial"/>
      <color rgb="002C1636"/>
      <sz val="9"/>
    </font>
  </fonts>
  <fills count="12">
    <fill>
      <patternFill/>
    </fill>
    <fill>
      <patternFill patternType="gray125"/>
    </fill>
    <fill>
      <patternFill patternType="solid">
        <fgColor rgb="005B2A6E"/>
      </patternFill>
    </fill>
    <fill>
      <patternFill patternType="solid">
        <fgColor rgb="00FFF6CC"/>
      </patternFill>
    </fill>
    <fill>
      <patternFill patternType="solid">
        <fgColor rgb="00F2F2F2"/>
      </patternFill>
    </fill>
    <fill>
      <patternFill patternType="solid">
        <fgColor rgb="00EFE6F3"/>
      </patternFill>
    </fill>
    <fill>
      <patternFill patternType="solid">
        <fgColor rgb="00FFE58A"/>
      </patternFill>
    </fill>
    <fill>
      <patternFill patternType="solid">
        <fgColor rgb="00DCEBFA"/>
      </patternFill>
    </fill>
    <fill>
      <patternFill patternType="solid">
        <fgColor rgb="00E6DAF2"/>
      </patternFill>
    </fill>
    <fill>
      <patternFill patternType="solid">
        <fgColor rgb="00FFE1C2"/>
      </patternFill>
    </fill>
    <fill>
      <patternFill patternType="solid">
        <fgColor rgb="00EDEDED"/>
      </patternFill>
    </fill>
    <fill>
      <patternFill patternType="solid">
        <fgColor rgb="00CFE8D8"/>
      </patternFill>
    </fill>
  </fills>
  <borders count="10">
    <border>
      <left/>
      <right/>
      <top/>
      <bottom/>
      <diagonal/>
    </border>
    <border>
      <left style="thin">
        <color rgb="00D9D2DE"/>
      </left>
      <right style="thin">
        <color rgb="00D9D2DE"/>
      </right>
      <top style="thin">
        <color rgb="00D9D2DE"/>
      </top>
      <bottom style="thin">
        <color rgb="00D9D2DE"/>
      </bottom>
    </border>
    <border/>
    <border>
      <left/>
      <right/>
      <top style="thin">
        <color rgb="00D9D2DE"/>
      </top>
      <bottom/>
      <diagonal/>
    </border>
    <border>
      <left/>
      <right style="thin">
        <color rgb="00D9D2DE"/>
      </right>
      <top style="thin">
        <color rgb="00D9D2DE"/>
      </top>
      <bottom/>
      <diagonal/>
    </border>
    <border>
      <left/>
      <right style="thin">
        <color rgb="00D9D2DE"/>
      </right>
      <top style="thin">
        <color rgb="00D9D2DE"/>
      </top>
      <bottom style="thin">
        <color rgb="00D9D2DE"/>
      </bottom>
      <diagonal/>
    </border>
    <border>
      <left/>
      <right/>
      <top style="thin">
        <color rgb="00D9D2DE"/>
      </top>
      <bottom style="thin">
        <color rgb="00D9D2DE"/>
      </bottom>
      <diagonal/>
    </border>
    <border>
      <left style="thin">
        <color rgb="00D9D2DE"/>
      </left>
      <right/>
      <top/>
      <bottom/>
      <diagonal/>
    </border>
    <border>
      <left style="thin">
        <color rgb="00D9D2DE"/>
      </left>
      <right style="thin">
        <color rgb="00D9D2DE"/>
      </right>
      <top/>
      <bottom/>
      <diagonal/>
    </border>
    <border>
      <left style="thin">
        <color rgb="00D9D2DE"/>
      </left>
      <right style="thin">
        <color rgb="00D9D2DE"/>
      </right>
      <top/>
      <bottom style="thin">
        <color rgb="00D9D2DE"/>
      </bottom>
      <diagonal/>
    </border>
  </borders>
  <cellStyleXfs count="16">
    <xf numFmtId="0" fontId="0" fillId="0" borderId="0"/>
    <xf numFmtId="0" fontId="1" fillId="2" borderId="1" applyAlignment="1">
      <alignment horizontal="center" vertical="center" wrapText="1" readingOrder="2"/>
    </xf>
    <xf numFmtId="0" fontId="2" fillId="3" borderId="1" applyAlignment="1" applyProtection="1">
      <alignment horizontal="right" vertical="center" readingOrder="2"/>
      <protection locked="0" hidden="0"/>
    </xf>
    <xf numFmtId="4" fontId="2" fillId="3" borderId="1" applyAlignment="1" applyProtection="1">
      <alignment horizontal="center" vertical="center" readingOrder="2"/>
      <protection locked="0" hidden="0"/>
    </xf>
    <xf numFmtId="3" fontId="2" fillId="3" borderId="1" applyAlignment="1" applyProtection="1">
      <alignment horizontal="center" vertical="center" readingOrder="2"/>
      <protection locked="0" hidden="0"/>
    </xf>
    <xf numFmtId="9" fontId="2" fillId="3" borderId="1" applyAlignment="1" applyProtection="1">
      <alignment horizontal="center" vertical="center" readingOrder="2"/>
      <protection locked="0" hidden="0"/>
    </xf>
    <xf numFmtId="164" fontId="2" fillId="3" borderId="1" applyAlignment="1" applyProtection="1">
      <alignment horizontal="center" vertical="center" readingOrder="2"/>
      <protection locked="0" hidden="0"/>
    </xf>
    <xf numFmtId="165" fontId="2" fillId="3" borderId="1" applyAlignment="1" applyProtection="1">
      <alignment horizontal="center" vertical="center" readingOrder="2"/>
      <protection locked="0" hidden="0"/>
    </xf>
    <xf numFmtId="0" fontId="2" fillId="4" borderId="1" applyAlignment="1">
      <alignment horizontal="right" vertical="center" readingOrder="2"/>
    </xf>
    <xf numFmtId="4" fontId="2" fillId="4" borderId="1" applyAlignment="1">
      <alignment horizontal="center" vertical="center" readingOrder="2"/>
    </xf>
    <xf numFmtId="3" fontId="2" fillId="4" borderId="1" applyAlignment="1">
      <alignment horizontal="center" vertical="center" readingOrder="2"/>
    </xf>
    <xf numFmtId="166" fontId="2" fillId="4" borderId="1" applyAlignment="1">
      <alignment horizontal="center" vertical="center" readingOrder="2"/>
    </xf>
    <xf numFmtId="164" fontId="2" fillId="4" borderId="1" applyAlignment="1">
      <alignment horizontal="center" vertical="center" readingOrder="2"/>
    </xf>
    <xf numFmtId="0" fontId="3" fillId="5" borderId="1" applyAlignment="1">
      <alignment horizontal="right" vertical="center" readingOrder="2"/>
    </xf>
    <xf numFmtId="0" fontId="2" fillId="0" borderId="2" applyAlignment="1">
      <alignment horizontal="right" vertical="center" readingOrder="2"/>
    </xf>
    <xf numFmtId="0" fontId="4" fillId="0" borderId="2" applyAlignment="1">
      <alignment horizontal="right" vertical="center" readingOrder="2"/>
    </xf>
  </cellStyleXfs>
  <cellXfs count="40">
    <xf numFmtId="0" fontId="0" fillId="0" borderId="0" pivotButton="0" quotePrefix="0" xfId="0"/>
    <xf numFmtId="0" fontId="5" fillId="0" borderId="2" applyAlignment="1" pivotButton="0" quotePrefix="0" xfId="14">
      <alignment horizontal="right" vertical="center" readingOrder="2"/>
    </xf>
    <xf numFmtId="0" fontId="4" fillId="0" borderId="2" applyAlignment="1" pivotButton="0" quotePrefix="0" xfId="15">
      <alignment horizontal="right" vertical="center" readingOrder="2"/>
    </xf>
    <xf numFmtId="0" fontId="3" fillId="5" borderId="1" applyAlignment="1" pivotButton="0" quotePrefix="0" xfId="13">
      <alignment horizontal="right" vertical="center" readingOrder="2"/>
    </xf>
    <xf numFmtId="0" fontId="2" fillId="3" borderId="1" applyAlignment="1" applyProtection="1" pivotButton="0" quotePrefix="0" xfId="2">
      <alignment horizontal="right" vertical="center" readingOrder="2"/>
      <protection locked="0" hidden="0"/>
    </xf>
    <xf numFmtId="0" fontId="0" fillId="0" borderId="5" applyProtection="1" pivotButton="0" quotePrefix="0" xfId="0">
      <protection locked="0" hidden="0"/>
    </xf>
    <xf numFmtId="3" fontId="2" fillId="3" borderId="1" applyAlignment="1" applyProtection="1" pivotButton="0" quotePrefix="0" xfId="4">
      <alignment horizontal="center" vertical="center" readingOrder="2"/>
      <protection locked="0" hidden="0"/>
    </xf>
    <xf numFmtId="0" fontId="1" fillId="2" borderId="1" applyAlignment="1" pivotButton="0" quotePrefix="0" xfId="1">
      <alignment horizontal="center" vertical="center" wrapText="1" readingOrder="2"/>
    </xf>
    <xf numFmtId="0" fontId="2" fillId="4" borderId="1" applyAlignment="1" pivotButton="0" quotePrefix="0" xfId="8">
      <alignment horizontal="right" vertical="center" readingOrder="2"/>
    </xf>
    <xf numFmtId="165" fontId="2" fillId="3" borderId="1" applyAlignment="1" applyProtection="1" pivotButton="0" quotePrefix="0" xfId="7">
      <alignment horizontal="center" vertical="center" readingOrder="2"/>
      <protection locked="0" hidden="0"/>
    </xf>
    <xf numFmtId="167" fontId="2" fillId="3" borderId="1" applyAlignment="1" applyProtection="1" pivotButton="0" quotePrefix="0" xfId="3">
      <alignment horizontal="center" vertical="center" readingOrder="2"/>
      <protection locked="0" hidden="0"/>
    </xf>
    <xf numFmtId="0" fontId="0" fillId="0" borderId="5" pivotButton="0" quotePrefix="0" xfId="0"/>
    <xf numFmtId="164" fontId="2" fillId="3" borderId="1" applyAlignment="1" applyProtection="1" pivotButton="0" quotePrefix="0" xfId="6">
      <alignment horizontal="center" vertical="center" readingOrder="2"/>
      <protection locked="0" hidden="0"/>
    </xf>
    <xf numFmtId="0" fontId="2" fillId="0" borderId="2" applyAlignment="1" pivotButton="0" quotePrefix="0" xfId="14">
      <alignment horizontal="right" vertical="top" wrapText="1" readingOrder="2"/>
    </xf>
    <xf numFmtId="0" fontId="9" fillId="0" borderId="2" applyAlignment="1" pivotButton="0" quotePrefix="0" xfId="14">
      <alignment horizontal="right" vertical="center" readingOrder="2"/>
    </xf>
    <xf numFmtId="0" fontId="2" fillId="0" borderId="2" applyAlignment="1" pivotButton="0" quotePrefix="0" xfId="14">
      <alignment horizontal="right" vertical="center" readingOrder="2"/>
    </xf>
    <xf numFmtId="0" fontId="3" fillId="6" borderId="2" applyAlignment="1" pivotButton="0" quotePrefix="0" xfId="14">
      <alignment horizontal="center" vertical="center" readingOrder="2"/>
    </xf>
    <xf numFmtId="0" fontId="0" fillId="0" borderId="6" applyProtection="1" pivotButton="0" quotePrefix="0" xfId="0">
      <protection locked="0" hidden="0"/>
    </xf>
    <xf numFmtId="0" fontId="3" fillId="7" borderId="1" applyAlignment="1" pivotButton="0" quotePrefix="0" xfId="8">
      <alignment horizontal="center"/>
    </xf>
    <xf numFmtId="0" fontId="3" fillId="8" borderId="1" applyAlignment="1" pivotButton="0" quotePrefix="0" xfId="8">
      <alignment horizontal="center"/>
    </xf>
    <xf numFmtId="0" fontId="3" fillId="9" borderId="1" applyAlignment="1" pivotButton="0" quotePrefix="0" xfId="8">
      <alignment horizontal="center"/>
    </xf>
    <xf numFmtId="0" fontId="3" fillId="10" borderId="1" applyAlignment="1" pivotButton="0" quotePrefix="0" xfId="8">
      <alignment horizontal="center"/>
    </xf>
    <xf numFmtId="0" fontId="3" fillId="11" borderId="1" applyAlignment="1" pivotButton="0" quotePrefix="0" xfId="8">
      <alignment horizontal="center"/>
    </xf>
    <xf numFmtId="168" fontId="1" fillId="2" borderId="1" applyAlignment="1" pivotButton="0" quotePrefix="0" xfId="1">
      <alignment horizontal="center" vertical="center"/>
    </xf>
    <xf numFmtId="0" fontId="6" fillId="4" borderId="1" applyAlignment="1" pivotButton="0" quotePrefix="0" xfId="8">
      <alignment horizontal="center" vertical="center"/>
    </xf>
    <xf numFmtId="3" fontId="7" fillId="4" borderId="1" applyAlignment="1" pivotButton="0" quotePrefix="0" xfId="10">
      <alignment horizontal="center" vertical="center"/>
    </xf>
    <xf numFmtId="0" fontId="3" fillId="3" borderId="1" applyAlignment="1" applyProtection="1" pivotButton="0" quotePrefix="0" xfId="2">
      <alignment horizontal="right" vertical="center" readingOrder="2"/>
      <protection locked="0" hidden="0"/>
    </xf>
    <xf numFmtId="0" fontId="2" fillId="3" borderId="1" applyAlignment="1" applyProtection="1" pivotButton="0" quotePrefix="0" xfId="2">
      <alignment horizontal="center" vertical="center"/>
      <protection locked="0" hidden="0"/>
    </xf>
    <xf numFmtId="3" fontId="2" fillId="4" borderId="1" applyAlignment="1" pivotButton="0" quotePrefix="0" xfId="10">
      <alignment horizontal="center" vertical="center" readingOrder="2"/>
    </xf>
    <xf numFmtId="169" fontId="3" fillId="4" borderId="1" applyAlignment="1" pivotButton="0" quotePrefix="0" xfId="8">
      <alignment horizontal="right" vertical="center" readingOrder="2"/>
    </xf>
    <xf numFmtId="0" fontId="0" fillId="0" borderId="6" pivotButton="0" quotePrefix="0" xfId="0"/>
    <xf numFmtId="0" fontId="6" fillId="4" borderId="1" applyAlignment="1" pivotButton="0" quotePrefix="0" xfId="8">
      <alignment horizontal="right" vertical="center" readingOrder="2"/>
    </xf>
    <xf numFmtId="3" fontId="7" fillId="4" borderId="1" applyAlignment="1" pivotButton="0" quotePrefix="0" xfId="10">
      <alignment horizontal="center" vertical="center" readingOrder="2"/>
    </xf>
    <xf numFmtId="0" fontId="2" fillId="4" borderId="1" applyAlignment="1" pivotButton="0" quotePrefix="0" xfId="8">
      <alignment horizontal="center" vertical="center"/>
    </xf>
    <xf numFmtId="3" fontId="3" fillId="4" borderId="1" applyAlignment="1" pivotButton="0" quotePrefix="0" xfId="10">
      <alignment horizontal="center" vertical="center" readingOrder="2"/>
    </xf>
    <xf numFmtId="0" fontId="8" fillId="0" borderId="2" applyAlignment="1" pivotButton="0" quotePrefix="0" xfId="14">
      <alignment horizontal="right" vertical="center" readingOrder="2"/>
    </xf>
    <xf numFmtId="170" fontId="1" fillId="2" borderId="1" applyAlignment="1" pivotButton="0" quotePrefix="0" xfId="1">
      <alignment horizontal="center" vertical="center" wrapText="1" readingOrder="2"/>
    </xf>
    <xf numFmtId="0" fontId="0" fillId="0" borderId="9" pivotButton="0" quotePrefix="0" xfId="0"/>
    <xf numFmtId="0" fontId="10" fillId="4" borderId="1" applyAlignment="1" pivotButton="0" quotePrefix="0" xfId="8">
      <alignment horizontal="center" vertical="center"/>
    </xf>
    <xf numFmtId="0" fontId="11" fillId="0" borderId="2" applyAlignment="1" pivotButton="0" quotePrefix="0" xfId="14">
      <alignment horizontal="right" vertical="center" readingOrder="2"/>
    </xf>
  </cellXfs>
  <cellStyles count="16">
    <cellStyle name="Normal" xfId="0" builtinId="0" hidden="0"/>
    <cellStyle name="mz_head" xfId="1" hidden="0"/>
    <cellStyle name="mz_in" xfId="2" hidden="0"/>
    <cellStyle name="mz_in_num" xfId="3" hidden="0"/>
    <cellStyle name="mz_in_int" xfId="4" hidden="0"/>
    <cellStyle name="mz_in_pct" xfId="5" hidden="0"/>
    <cellStyle name="mz_in_date" xfId="6" hidden="0"/>
    <cellStyle name="mz_in_time" xfId="7" hidden="0"/>
    <cellStyle name="mz_calc" xfId="8" hidden="0"/>
    <cellStyle name="mz_calc_num" xfId="9" hidden="0"/>
    <cellStyle name="mz_calc_int" xfId="10" hidden="0"/>
    <cellStyle name="mz_calc_pct" xfId="11" hidden="0"/>
    <cellStyle name="mz_calc_date" xfId="12" hidden="0"/>
    <cellStyle name="mz_label" xfId="13" hidden="0"/>
    <cellStyle name="mz_plain" xfId="14" hidden="0"/>
    <cellStyle name="mz_note" xfId="15" hidden="0"/>
  </cellStyles>
  <dxfs count="7">
    <dxf>
      <fill>
        <patternFill patternType="solid">
          <fgColor rgb="00DCEBFA"/>
        </patternFill>
      </fill>
    </dxf>
    <dxf>
      <fill>
        <patternFill patternType="solid">
          <fgColor rgb="00E6DAF2"/>
        </patternFill>
      </fill>
    </dxf>
    <dxf>
      <fill>
        <patternFill patternType="solid">
          <fgColor rgb="00FFE1C2"/>
        </patternFill>
      </fill>
    </dxf>
    <dxf>
      <fill>
        <patternFill patternType="solid">
          <fgColor rgb="00EDEDED"/>
        </patternFill>
      </fill>
    </dxf>
    <dxf>
      <fill>
        <patternFill patternType="solid">
          <fgColor rgb="00CFE8D8"/>
        </patternFill>
      </fill>
    </dxf>
    <dxf>
      <fill>
        <patternFill patternType="solid">
          <fgColor rgb="00D5CEDB"/>
        </patternFill>
      </fill>
    </dxf>
    <dxf>
      <fill>
        <patternFill patternType="solid">
          <fgColor rgb="00FBD9D9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medicolize.com/ar/demo/?utm_source=template&amp;utm_medium=download&amp;utm_content=staff-roster-and-leave" TargetMode="External" Id="rId1"/></Relationships>
</file>

<file path=xl/worksheets/_rels/sheet6.xml.rels><Relationships xmlns="http://schemas.openxmlformats.org/package/2006/relationships"><Relationship Type="http://schemas.openxmlformats.org/officeDocument/2006/relationships/hyperlink" Target="https://medicolize.com/ar/demo/?utm_source=template&amp;utm_medium=download&amp;utm_content=staff-roster-and-leave" TargetMode="External" Id="rId1"/></Relationships>
</file>

<file path=xl/worksheets/sheet1.xml><?xml version="1.0" encoding="utf-8"?>
<worksheet xmlns="http://schemas.openxmlformats.org/spreadsheetml/2006/main">
  <sheetPr>
    <tabColor rgb="005B2A6E"/>
    <outlinePr summaryBelow="1" summaryRight="1"/>
    <pageSetUpPr fitToPage="1"/>
  </sheetPr>
  <dimension ref="A1:Q48"/>
  <sheetViews>
    <sheetView showGridLines="0" rightToLeft="1" tabSelected="1" zoomScale="110" workbookViewId="0">
      <selection activeCell="A1" sqref="A1"/>
    </sheetView>
  </sheetViews>
  <sheetFormatPr baseColWidth="8" defaultRowHeight="15"/>
  <cols>
    <col width="22" customWidth="1" min="1" max="1"/>
    <col width="13" customWidth="1" min="2" max="2"/>
    <col width="14" customWidth="1" min="3" max="3"/>
    <col width="12" customWidth="1" min="4" max="4"/>
    <col width="11" customWidth="1" min="5" max="5"/>
    <col width="13" customWidth="1" min="6" max="6"/>
    <col width="15" customWidth="1" min="7" max="7"/>
    <col width="14" customWidth="1" min="8" max="8"/>
    <col width="9" customWidth="1" min="9" max="9"/>
    <col width="15" customWidth="1" min="10" max="10"/>
    <col width="13" customWidth="1" min="11" max="11"/>
    <col width="13" customWidth="1" min="12" max="12"/>
    <col width="15" customWidth="1" min="13" max="13"/>
    <col width="3" customWidth="1" min="14" max="14"/>
    <col width="14" customWidth="1" min="15" max="15"/>
    <col width="3" customWidth="1" min="16" max="16"/>
    <col width="14" customWidth="1" min="17" max="17"/>
  </cols>
  <sheetData>
    <row r="1" ht="24" customHeight="1">
      <c r="A1" s="1" t="inlineStr">
        <is>
          <t>الإعدادات</t>
        </is>
      </c>
    </row>
    <row r="2">
      <c r="A2" s="2" t="inlineStr">
        <is>
          <t>عدّل الخلايا الصفراء. كل القوائم المنسدلة وساعات الورديات والحد الأدنى للتغطية تُقرأ من هنا.</t>
        </is>
      </c>
    </row>
    <row r="3">
      <c r="A3" s="3" t="inlineStr">
        <is>
          <t>اسم العيادة</t>
        </is>
      </c>
      <c r="B3" s="4" t="inlineStr">
        <is>
          <t>مجمع النور الطبي</t>
        </is>
      </c>
      <c r="C3" s="5" t="n"/>
    </row>
    <row r="4">
      <c r="A4" s="3" t="inlineStr">
        <is>
          <t>سنة الإجازات</t>
        </is>
      </c>
      <c r="B4" s="6" t="n">
        <v>2026</v>
      </c>
    </row>
    <row r="7">
      <c r="A7" s="7" t="inlineStr">
        <is>
          <t>اليوم</t>
        </is>
      </c>
      <c r="B7" s="7" t="inlineStr">
        <is>
          <t>اختصار</t>
        </is>
      </c>
      <c r="C7" s="7" t="inlineStr">
        <is>
          <t>مفتوح؟</t>
        </is>
      </c>
      <c r="E7" s="7" t="inlineStr">
        <is>
          <t>الرمز</t>
        </is>
      </c>
      <c r="F7" s="7" t="inlineStr">
        <is>
          <t>الوردية</t>
        </is>
      </c>
      <c r="G7" s="7" t="inlineStr">
        <is>
          <t>من</t>
        </is>
      </c>
      <c r="H7" s="7" t="inlineStr">
        <is>
          <t>إلى</t>
        </is>
      </c>
      <c r="I7" s="7" t="inlineStr">
        <is>
          <t>الساعات</t>
        </is>
      </c>
      <c r="K7" s="7" t="inlineStr">
        <is>
          <t>الوظيفة</t>
        </is>
      </c>
      <c r="M7" s="7" t="inlineStr">
        <is>
          <t>الفروع</t>
        </is>
      </c>
      <c r="O7" s="7" t="inlineStr">
        <is>
          <t>نوع الإجازة</t>
        </is>
      </c>
      <c r="Q7" s="7" t="inlineStr">
        <is>
          <t>حالة الطلب</t>
        </is>
      </c>
    </row>
    <row r="8">
      <c r="A8" s="8" t="inlineStr">
        <is>
          <t>الإثنين</t>
        </is>
      </c>
      <c r="B8" s="4" t="inlineStr">
        <is>
          <t>ن</t>
        </is>
      </c>
      <c r="C8" s="4" t="inlineStr">
        <is>
          <t>نعم</t>
        </is>
      </c>
      <c r="E8" s="4" t="inlineStr">
        <is>
          <t>ص</t>
        </is>
      </c>
      <c r="F8" s="4" t="inlineStr">
        <is>
          <t>صباحي</t>
        </is>
      </c>
      <c r="G8" s="9" t="n">
        <v>0.375</v>
      </c>
      <c r="H8" s="9" t="n">
        <v>0.625</v>
      </c>
      <c r="I8" s="10" t="n">
        <v>6</v>
      </c>
      <c r="K8" s="4" t="inlineStr">
        <is>
          <t>استقبال</t>
        </is>
      </c>
      <c r="M8" s="4" t="inlineStr">
        <is>
          <t>الفرع الرئيسي</t>
        </is>
      </c>
      <c r="O8" s="8" t="inlineStr">
        <is>
          <t>سنوية</t>
        </is>
      </c>
      <c r="Q8" s="8" t="inlineStr">
        <is>
          <t>معتمدة</t>
        </is>
      </c>
    </row>
    <row r="9">
      <c r="A9" s="8" t="inlineStr">
        <is>
          <t>الثلاثاء</t>
        </is>
      </c>
      <c r="B9" s="4" t="inlineStr">
        <is>
          <t>ث</t>
        </is>
      </c>
      <c r="C9" s="4" t="inlineStr">
        <is>
          <t>نعم</t>
        </is>
      </c>
      <c r="E9" s="4" t="inlineStr">
        <is>
          <t>م</t>
        </is>
      </c>
      <c r="F9" s="4" t="inlineStr">
        <is>
          <t>مسائي</t>
        </is>
      </c>
      <c r="G9" s="9" t="n">
        <v>0.625</v>
      </c>
      <c r="H9" s="9" t="n">
        <v>0.9166666666666666</v>
      </c>
      <c r="I9" s="10" t="n">
        <v>7</v>
      </c>
      <c r="K9" s="4" t="inlineStr">
        <is>
          <t>تمريض</t>
        </is>
      </c>
      <c r="M9" s="4" t="inlineStr">
        <is>
          <t>فرع الشمال</t>
        </is>
      </c>
      <c r="O9" s="8" t="inlineStr">
        <is>
          <t>مرضية</t>
        </is>
      </c>
      <c r="Q9" s="8" t="inlineStr">
        <is>
          <t>قيد الانتظار</t>
        </is>
      </c>
    </row>
    <row r="10">
      <c r="A10" s="8" t="inlineStr">
        <is>
          <t>الأربعاء</t>
        </is>
      </c>
      <c r="B10" s="4" t="inlineStr">
        <is>
          <t>ر</t>
        </is>
      </c>
      <c r="C10" s="4" t="inlineStr">
        <is>
          <t>نعم</t>
        </is>
      </c>
      <c r="E10" s="4" t="inlineStr">
        <is>
          <t>ك</t>
        </is>
      </c>
      <c r="F10" s="4" t="inlineStr">
        <is>
          <t>يوم كامل</t>
        </is>
      </c>
      <c r="G10" s="9" t="n">
        <v>0.375</v>
      </c>
      <c r="H10" s="9" t="n">
        <v>0.9166666666666666</v>
      </c>
      <c r="I10" s="10" t="n">
        <v>13</v>
      </c>
      <c r="K10" s="4" t="inlineStr">
        <is>
          <t>طبيب</t>
        </is>
      </c>
      <c r="M10" s="4" t="n"/>
      <c r="O10" s="8" t="inlineStr">
        <is>
          <t>بدون راتب</t>
        </is>
      </c>
      <c r="Q10" s="8" t="inlineStr">
        <is>
          <t>مرفوضة</t>
        </is>
      </c>
    </row>
    <row r="11">
      <c r="A11" s="8" t="inlineStr">
        <is>
          <t>الخميس</t>
        </is>
      </c>
      <c r="B11" s="4" t="inlineStr">
        <is>
          <t>خ</t>
        </is>
      </c>
      <c r="C11" s="4" t="inlineStr">
        <is>
          <t>نعم</t>
        </is>
      </c>
      <c r="E11" s="4" t="inlineStr">
        <is>
          <t>ر</t>
        </is>
      </c>
      <c r="F11" s="4" t="inlineStr">
        <is>
          <t>راحة</t>
        </is>
      </c>
      <c r="G11" s="9" t="n"/>
      <c r="H11" s="9" t="n"/>
      <c r="I11" s="10" t="n">
        <v>0</v>
      </c>
      <c r="K11" s="4" t="inlineStr">
        <is>
          <t>مساعد</t>
        </is>
      </c>
      <c r="M11" s="4" t="n"/>
      <c r="O11" s="8" t="inlineStr">
        <is>
          <t>طارئة</t>
        </is>
      </c>
    </row>
    <row r="12">
      <c r="A12" s="8" t="inlineStr">
        <is>
          <t>الجمعة</t>
        </is>
      </c>
      <c r="B12" s="4" t="inlineStr">
        <is>
          <t>ج</t>
        </is>
      </c>
      <c r="C12" s="4" t="inlineStr">
        <is>
          <t>لا</t>
        </is>
      </c>
      <c r="E12" s="4" t="inlineStr">
        <is>
          <t>إ</t>
        </is>
      </c>
      <c r="F12" s="4" t="inlineStr">
        <is>
          <t>إجازة</t>
        </is>
      </c>
      <c r="G12" s="9" t="n"/>
      <c r="H12" s="9" t="n"/>
      <c r="I12" s="10" t="n">
        <v>0</v>
      </c>
      <c r="K12" s="4" t="inlineStr">
        <is>
          <t>نظافة</t>
        </is>
      </c>
      <c r="M12" s="4" t="n"/>
    </row>
    <row r="13">
      <c r="A13" s="8" t="inlineStr">
        <is>
          <t>السبت</t>
        </is>
      </c>
      <c r="B13" s="4" t="inlineStr">
        <is>
          <t>س</t>
        </is>
      </c>
      <c r="C13" s="4" t="inlineStr">
        <is>
          <t>نعم</t>
        </is>
      </c>
      <c r="E13" s="4" t="n"/>
      <c r="F13" s="4" t="n"/>
      <c r="G13" s="9" t="n"/>
      <c r="H13" s="9" t="n"/>
      <c r="I13" s="10" t="n"/>
      <c r="K13" s="4" t="inlineStr">
        <is>
          <t>إدارة</t>
        </is>
      </c>
    </row>
    <row r="14">
      <c r="A14" s="8" t="inlineStr">
        <is>
          <t>الأحد</t>
        </is>
      </c>
      <c r="B14" s="4" t="inlineStr">
        <is>
          <t>ح</t>
        </is>
      </c>
      <c r="C14" s="4" t="inlineStr">
        <is>
          <t>نعم</t>
        </is>
      </c>
      <c r="E14" s="4" t="n"/>
      <c r="F14" s="4" t="n"/>
      <c r="G14" s="9" t="n"/>
      <c r="H14" s="9" t="n"/>
      <c r="I14" s="10" t="n"/>
    </row>
    <row r="15">
      <c r="A15" s="3" t="inlineStr">
        <is>
          <t>رمز العطلة (لحساب أيام الإجازة)</t>
        </is>
      </c>
      <c r="B15" s="11" t="n"/>
      <c r="C15" s="8">
        <f>IF(C8="لا","1","0")&amp;IF(C9="لا","1","0")&amp;IF(C10="لا","1","0")&amp;IF(C11="لا","1","0")&amp;IF(C12="لا","1","0")&amp;IF(C13="لا","1","0")&amp;IF(C14="لا","1","0")</f>
        <v/>
      </c>
      <c r="E15" s="4" t="n"/>
      <c r="F15" s="4" t="n"/>
      <c r="G15" s="9" t="n"/>
      <c r="H15" s="9" t="n"/>
      <c r="I15" s="10" t="n"/>
    </row>
    <row r="16">
      <c r="E16" s="2" t="inlineStr">
        <is>
          <t>أبقِ الصفوف الخمسة الأولى بهذا الترتيب: صباحي، مسائي، يوم كامل، راحة، إجازة.</t>
        </is>
      </c>
    </row>
    <row r="18" ht="32" customHeight="1">
      <c r="A18" s="7" t="inlineStr">
        <is>
          <t>الاسم</t>
        </is>
      </c>
      <c r="B18" s="7" t="inlineStr">
        <is>
          <t>الوظيفة</t>
        </is>
      </c>
      <c r="C18" s="7" t="inlineStr">
        <is>
          <t>الفرع</t>
        </is>
      </c>
      <c r="D18" s="7" t="inlineStr">
        <is>
          <t>حد الساعات أسبوعيًا</t>
        </is>
      </c>
      <c r="E18" s="7" t="inlineStr">
        <is>
          <t>رصيد الإجازة السنوية</t>
        </is>
      </c>
      <c r="F18" s="7" t="inlineStr">
        <is>
          <t>تاريخ البدء</t>
        </is>
      </c>
      <c r="G18" s="7" t="inlineStr">
        <is>
          <t>الجوال</t>
        </is>
      </c>
      <c r="H18" s="7" t="inlineStr">
        <is>
          <t>مفتاح الترتيب</t>
        </is>
      </c>
      <c r="J18" s="7" t="inlineStr">
        <is>
          <t>الفرع</t>
        </is>
      </c>
      <c r="K18" s="7" t="inlineStr">
        <is>
          <t>الوردية</t>
        </is>
      </c>
      <c r="L18" s="7" t="inlineStr">
        <is>
          <t>الوظيفة</t>
        </is>
      </c>
      <c r="M18" s="7" t="inlineStr">
        <is>
          <t>الحد الأدنى</t>
        </is>
      </c>
    </row>
    <row r="19">
      <c r="A19" s="4" t="inlineStr">
        <is>
          <t>ريم عبدالله</t>
        </is>
      </c>
      <c r="B19" s="4" t="inlineStr">
        <is>
          <t>استقبال</t>
        </is>
      </c>
      <c r="C19" s="4" t="inlineStr">
        <is>
          <t>الفرع الرئيسي</t>
        </is>
      </c>
      <c r="D19" s="6" t="n">
        <v>48</v>
      </c>
      <c r="E19" s="6" t="n">
        <v>21</v>
      </c>
      <c r="F19" s="12" t="n">
        <v>44621</v>
      </c>
      <c r="G19" s="4" t="inlineStr">
        <is>
          <t>050 214 7781</t>
        </is>
      </c>
      <c r="H19" s="8">
        <f>IF(A19="","",C19&amp;"|"&amp;SUMPRODUCT((C$19:C19=C19)*(A$19:A19&lt;&gt;"")))</f>
        <v/>
      </c>
      <c r="J19" s="4" t="inlineStr">
        <is>
          <t>الفرع الرئيسي</t>
        </is>
      </c>
      <c r="K19" s="4" t="inlineStr">
        <is>
          <t>صباحي</t>
        </is>
      </c>
      <c r="L19" s="4" t="inlineStr">
        <is>
          <t>استقبال</t>
        </is>
      </c>
      <c r="M19" s="6" t="n">
        <v>1</v>
      </c>
    </row>
    <row r="20">
      <c r="A20" s="4" t="inlineStr">
        <is>
          <t>هالة سمير</t>
        </is>
      </c>
      <c r="B20" s="4" t="inlineStr">
        <is>
          <t>استقبال</t>
        </is>
      </c>
      <c r="C20" s="4" t="inlineStr">
        <is>
          <t>الفرع الرئيسي</t>
        </is>
      </c>
      <c r="D20" s="6" t="n">
        <v>48</v>
      </c>
      <c r="E20" s="6" t="n">
        <v>21</v>
      </c>
      <c r="F20" s="12" t="n">
        <v>45179</v>
      </c>
      <c r="G20" s="4" t="inlineStr">
        <is>
          <t>055 318 2044</t>
        </is>
      </c>
      <c r="H20" s="8">
        <f>IF(A20="","",C20&amp;"|"&amp;SUMPRODUCT((C$19:C20=C20)*(A$19:A20&lt;&gt;"")))</f>
        <v/>
      </c>
      <c r="J20" s="4" t="inlineStr">
        <is>
          <t>الفرع الرئيسي</t>
        </is>
      </c>
      <c r="K20" s="4" t="inlineStr">
        <is>
          <t>مسائي</t>
        </is>
      </c>
      <c r="L20" s="4" t="inlineStr">
        <is>
          <t>استقبال</t>
        </is>
      </c>
      <c r="M20" s="6" t="n">
        <v>2</v>
      </c>
    </row>
    <row r="21">
      <c r="A21" s="4" t="inlineStr">
        <is>
          <t>منى فهد</t>
        </is>
      </c>
      <c r="B21" s="4" t="inlineStr">
        <is>
          <t>استقبال</t>
        </is>
      </c>
      <c r="C21" s="4" t="inlineStr">
        <is>
          <t>الفرع الرئيسي</t>
        </is>
      </c>
      <c r="D21" s="6" t="n">
        <v>48</v>
      </c>
      <c r="E21" s="6" t="n">
        <v>21</v>
      </c>
      <c r="F21" s="12" t="n">
        <v>45306</v>
      </c>
      <c r="G21" s="4" t="inlineStr">
        <is>
          <t>054 902 1173</t>
        </is>
      </c>
      <c r="H21" s="8">
        <f>IF(A21="","",C21&amp;"|"&amp;SUMPRODUCT((C$19:C21=C21)*(A$19:A21&lt;&gt;"")))</f>
        <v/>
      </c>
      <c r="J21" s="4" t="inlineStr">
        <is>
          <t>الفرع الرئيسي</t>
        </is>
      </c>
      <c r="K21" s="4" t="inlineStr">
        <is>
          <t>صباحي</t>
        </is>
      </c>
      <c r="L21" s="4" t="inlineStr">
        <is>
          <t>تمريض</t>
        </is>
      </c>
      <c r="M21" s="6" t="n">
        <v>1</v>
      </c>
    </row>
    <row r="22">
      <c r="A22" s="4" t="inlineStr">
        <is>
          <t>سلمى ناصر</t>
        </is>
      </c>
      <c r="B22" s="4" t="inlineStr">
        <is>
          <t>تمريض</t>
        </is>
      </c>
      <c r="C22" s="4" t="inlineStr">
        <is>
          <t>الفرع الرئيسي</t>
        </is>
      </c>
      <c r="D22" s="6" t="n">
        <v>48</v>
      </c>
      <c r="E22" s="6" t="n">
        <v>30</v>
      </c>
      <c r="F22" s="12" t="n">
        <v>43618</v>
      </c>
      <c r="G22" s="4" t="inlineStr">
        <is>
          <t>056 771 4410</t>
        </is>
      </c>
      <c r="H22" s="8">
        <f>IF(A22="","",C22&amp;"|"&amp;SUMPRODUCT((C$19:C22=C22)*(A$19:A22&lt;&gt;"")))</f>
        <v/>
      </c>
      <c r="J22" s="4" t="inlineStr">
        <is>
          <t>الفرع الرئيسي</t>
        </is>
      </c>
      <c r="K22" s="4" t="inlineStr">
        <is>
          <t>مسائي</t>
        </is>
      </c>
      <c r="L22" s="4" t="inlineStr">
        <is>
          <t>تمريض</t>
        </is>
      </c>
      <c r="M22" s="6" t="n">
        <v>1</v>
      </c>
    </row>
    <row r="23">
      <c r="A23" s="4" t="inlineStr">
        <is>
          <t>عمر حسن</t>
        </is>
      </c>
      <c r="B23" s="4" t="inlineStr">
        <is>
          <t>تمريض</t>
        </is>
      </c>
      <c r="C23" s="4" t="inlineStr">
        <is>
          <t>الفرع الرئيسي</t>
        </is>
      </c>
      <c r="D23" s="6" t="n">
        <v>48</v>
      </c>
      <c r="E23" s="6" t="n">
        <v>21</v>
      </c>
      <c r="F23" s="12" t="n">
        <v>44977</v>
      </c>
      <c r="G23" s="4" t="inlineStr">
        <is>
          <t>053 640 9935</t>
        </is>
      </c>
      <c r="H23" s="8">
        <f>IF(A23="","",C23&amp;"|"&amp;SUMPRODUCT((C$19:C23=C23)*(A$19:A23&lt;&gt;"")))</f>
        <v/>
      </c>
      <c r="J23" s="4" t="inlineStr">
        <is>
          <t>فرع الشمال</t>
        </is>
      </c>
      <c r="K23" s="4" t="inlineStr">
        <is>
          <t>صباحي</t>
        </is>
      </c>
      <c r="L23" s="4" t="inlineStr">
        <is>
          <t>استقبال</t>
        </is>
      </c>
      <c r="M23" s="6" t="n">
        <v>1</v>
      </c>
    </row>
    <row r="24">
      <c r="A24" s="4" t="inlineStr">
        <is>
          <t>ياسمين علي</t>
        </is>
      </c>
      <c r="B24" s="4" t="inlineStr">
        <is>
          <t>استقبال</t>
        </is>
      </c>
      <c r="C24" s="4" t="inlineStr">
        <is>
          <t>فرع الشمال</t>
        </is>
      </c>
      <c r="D24" s="6" t="n">
        <v>48</v>
      </c>
      <c r="E24" s="6" t="n">
        <v>21</v>
      </c>
      <c r="F24" s="12" t="n">
        <v>45508</v>
      </c>
      <c r="G24" s="4" t="inlineStr">
        <is>
          <t>050 887 3302</t>
        </is>
      </c>
      <c r="H24" s="8">
        <f>IF(A24="","",C24&amp;"|"&amp;SUMPRODUCT((C$19:C24=C24)*(A$19:A24&lt;&gt;"")))</f>
        <v/>
      </c>
      <c r="J24" s="4" t="inlineStr">
        <is>
          <t>فرع الشمال</t>
        </is>
      </c>
      <c r="K24" s="4" t="inlineStr">
        <is>
          <t>مسائي</t>
        </is>
      </c>
      <c r="L24" s="4" t="inlineStr">
        <is>
          <t>استقبال</t>
        </is>
      </c>
      <c r="M24" s="6" t="n">
        <v>1</v>
      </c>
    </row>
    <row r="25">
      <c r="A25" s="4" t="inlineStr">
        <is>
          <t>فاطمة سعد</t>
        </is>
      </c>
      <c r="B25" s="4" t="inlineStr">
        <is>
          <t>تمريض</t>
        </is>
      </c>
      <c r="C25" s="4" t="inlineStr">
        <is>
          <t>فرع الشمال</t>
        </is>
      </c>
      <c r="D25" s="6" t="n">
        <v>48</v>
      </c>
      <c r="E25" s="6" t="n">
        <v>30</v>
      </c>
      <c r="F25" s="12" t="n">
        <v>44143</v>
      </c>
      <c r="G25" s="4" t="inlineStr">
        <is>
          <t>055 129 6648</t>
        </is>
      </c>
      <c r="H25" s="8">
        <f>IF(A25="","",C25&amp;"|"&amp;SUMPRODUCT((C$19:C25=C25)*(A$19:A25&lt;&gt;"")))</f>
        <v/>
      </c>
      <c r="J25" s="4" t="inlineStr">
        <is>
          <t>فرع الشمال</t>
        </is>
      </c>
      <c r="K25" s="4" t="inlineStr">
        <is>
          <t>صباحي</t>
        </is>
      </c>
      <c r="L25" s="4" t="inlineStr">
        <is>
          <t>تمريض</t>
        </is>
      </c>
      <c r="M25" s="6" t="n">
        <v>1</v>
      </c>
    </row>
    <row r="26">
      <c r="A26" s="4" t="inlineStr">
        <is>
          <t>يوسف كمال</t>
        </is>
      </c>
      <c r="B26" s="4" t="inlineStr">
        <is>
          <t>استقبال</t>
        </is>
      </c>
      <c r="C26" s="4" t="inlineStr">
        <is>
          <t>فرع الشمال</t>
        </is>
      </c>
      <c r="D26" s="6" t="n">
        <v>48</v>
      </c>
      <c r="E26" s="6" t="n">
        <v>21</v>
      </c>
      <c r="F26" s="12" t="n">
        <v>45717</v>
      </c>
      <c r="G26" s="4" t="inlineStr">
        <is>
          <t>054 455 0927</t>
        </is>
      </c>
      <c r="H26" s="8">
        <f>IF(A26="","",C26&amp;"|"&amp;SUMPRODUCT((C$19:C26=C26)*(A$19:A26&lt;&gt;"")))</f>
        <v/>
      </c>
      <c r="J26" s="4" t="inlineStr">
        <is>
          <t>فرع الشمال</t>
        </is>
      </c>
      <c r="K26" s="4" t="inlineStr">
        <is>
          <t>مسائي</t>
        </is>
      </c>
      <c r="L26" s="4" t="inlineStr">
        <is>
          <t>مساعد</t>
        </is>
      </c>
      <c r="M26" s="6" t="n">
        <v>1</v>
      </c>
    </row>
    <row r="27">
      <c r="A27" s="4" t="inlineStr">
        <is>
          <t>دينا محمود</t>
        </is>
      </c>
      <c r="B27" s="4" t="inlineStr">
        <is>
          <t>مساعد</t>
        </is>
      </c>
      <c r="C27" s="4" t="inlineStr">
        <is>
          <t>فرع الشمال</t>
        </is>
      </c>
      <c r="D27" s="6" t="n">
        <v>48</v>
      </c>
      <c r="E27" s="6" t="n">
        <v>21</v>
      </c>
      <c r="F27" s="12" t="n">
        <v>45424</v>
      </c>
      <c r="G27" s="4" t="inlineStr">
        <is>
          <t>059 316 8820</t>
        </is>
      </c>
      <c r="H27" s="8">
        <f>IF(A27="","",C27&amp;"|"&amp;SUMPRODUCT((C$19:C27=C27)*(A$19:A27&lt;&gt;"")))</f>
        <v/>
      </c>
      <c r="J27" s="4" t="n"/>
      <c r="K27" s="4" t="n"/>
      <c r="L27" s="4" t="n"/>
      <c r="M27" s="6" t="n"/>
    </row>
    <row r="28">
      <c r="A28" s="4" t="n"/>
      <c r="B28" s="4" t="n"/>
      <c r="C28" s="4" t="n"/>
      <c r="D28" s="6" t="n"/>
      <c r="E28" s="6" t="n"/>
      <c r="F28" s="12" t="n"/>
      <c r="G28" s="4" t="n"/>
      <c r="H28" s="8">
        <f>IF(A28="","",C28&amp;"|"&amp;SUMPRODUCT((C$19:C28=C28)*(A$19:A28&lt;&gt;"")))</f>
        <v/>
      </c>
      <c r="J28" s="4" t="n"/>
      <c r="K28" s="4" t="n"/>
      <c r="L28" s="4" t="n"/>
      <c r="M28" s="6" t="n"/>
    </row>
    <row r="29">
      <c r="A29" s="4" t="n"/>
      <c r="B29" s="4" t="n"/>
      <c r="C29" s="4" t="n"/>
      <c r="D29" s="6" t="n"/>
      <c r="E29" s="6" t="n"/>
      <c r="F29" s="12" t="n"/>
      <c r="G29" s="4" t="n"/>
      <c r="H29" s="8">
        <f>IF(A29="","",C29&amp;"|"&amp;SUMPRODUCT((C$19:C29=C29)*(A$19:A29&lt;&gt;"")))</f>
        <v/>
      </c>
      <c r="J29" s="4" t="n"/>
      <c r="K29" s="4" t="n"/>
      <c r="L29" s="4" t="n"/>
      <c r="M29" s="6" t="n"/>
    </row>
    <row r="30">
      <c r="A30" s="4" t="n"/>
      <c r="B30" s="4" t="n"/>
      <c r="C30" s="4" t="n"/>
      <c r="D30" s="6" t="n"/>
      <c r="E30" s="6" t="n"/>
      <c r="F30" s="12" t="n"/>
      <c r="G30" s="4" t="n"/>
      <c r="H30" s="8">
        <f>IF(A30="","",C30&amp;"|"&amp;SUMPRODUCT((C$19:C30=C30)*(A$19:A30&lt;&gt;"")))</f>
        <v/>
      </c>
      <c r="J30" s="4" t="n"/>
      <c r="K30" s="4" t="n"/>
      <c r="L30" s="4" t="n"/>
      <c r="M30" s="6" t="n"/>
    </row>
    <row r="31">
      <c r="A31" s="4" t="n"/>
      <c r="B31" s="4" t="n"/>
      <c r="C31" s="4" t="n"/>
      <c r="D31" s="6" t="n"/>
      <c r="E31" s="6" t="n"/>
      <c r="F31" s="12" t="n"/>
      <c r="G31" s="4" t="n"/>
      <c r="H31" s="8">
        <f>IF(A31="","",C31&amp;"|"&amp;SUMPRODUCT((C$19:C31=C31)*(A$19:A31&lt;&gt;"")))</f>
        <v/>
      </c>
      <c r="J31" s="4" t="n"/>
      <c r="K31" s="4" t="n"/>
      <c r="L31" s="4" t="n"/>
      <c r="M31" s="6" t="n"/>
    </row>
    <row r="32">
      <c r="A32" s="4" t="n"/>
      <c r="B32" s="4" t="n"/>
      <c r="C32" s="4" t="n"/>
      <c r="D32" s="6" t="n"/>
      <c r="E32" s="6" t="n"/>
      <c r="F32" s="12" t="n"/>
      <c r="G32" s="4" t="n"/>
      <c r="H32" s="8">
        <f>IF(A32="","",C32&amp;"|"&amp;SUMPRODUCT((C$19:C32=C32)*(A$19:A32&lt;&gt;"")))</f>
        <v/>
      </c>
      <c r="J32" s="4" t="n"/>
      <c r="K32" s="4" t="n"/>
      <c r="L32" s="4" t="n"/>
      <c r="M32" s="6" t="n"/>
    </row>
    <row r="33">
      <c r="A33" s="4" t="n"/>
      <c r="B33" s="4" t="n"/>
      <c r="C33" s="4" t="n"/>
      <c r="D33" s="6" t="n"/>
      <c r="E33" s="6" t="n"/>
      <c r="F33" s="12" t="n"/>
      <c r="G33" s="4" t="n"/>
      <c r="H33" s="8">
        <f>IF(A33="","",C33&amp;"|"&amp;SUMPRODUCT((C$19:C33=C33)*(A$19:A33&lt;&gt;"")))</f>
        <v/>
      </c>
      <c r="J33" s="4" t="n"/>
      <c r="K33" s="4" t="n"/>
      <c r="L33" s="4" t="n"/>
      <c r="M33" s="6" t="n"/>
    </row>
    <row r="34">
      <c r="A34" s="4" t="n"/>
      <c r="B34" s="4" t="n"/>
      <c r="C34" s="4" t="n"/>
      <c r="D34" s="6" t="n"/>
      <c r="E34" s="6" t="n"/>
      <c r="F34" s="12" t="n"/>
      <c r="G34" s="4" t="n"/>
      <c r="H34" s="8">
        <f>IF(A34="","",C34&amp;"|"&amp;SUMPRODUCT((C$19:C34=C34)*(A$19:A34&lt;&gt;"")))</f>
        <v/>
      </c>
      <c r="J34" s="4" t="n"/>
      <c r="K34" s="4" t="n"/>
      <c r="L34" s="4" t="n"/>
      <c r="M34" s="6" t="n"/>
    </row>
    <row r="35">
      <c r="A35" s="4" t="n"/>
      <c r="B35" s="4" t="n"/>
      <c r="C35" s="4" t="n"/>
      <c r="D35" s="6" t="n"/>
      <c r="E35" s="6" t="n"/>
      <c r="F35" s="12" t="n"/>
      <c r="G35" s="4" t="n"/>
      <c r="H35" s="8">
        <f>IF(A35="","",C35&amp;"|"&amp;SUMPRODUCT((C$19:C35=C35)*(A$19:A35&lt;&gt;"")))</f>
        <v/>
      </c>
      <c r="J35" s="4" t="n"/>
      <c r="K35" s="4" t="n"/>
      <c r="L35" s="4" t="n"/>
      <c r="M35" s="6" t="n"/>
    </row>
    <row r="36">
      <c r="A36" s="4" t="n"/>
      <c r="B36" s="4" t="n"/>
      <c r="C36" s="4" t="n"/>
      <c r="D36" s="6" t="n"/>
      <c r="E36" s="6" t="n"/>
      <c r="F36" s="12" t="n"/>
      <c r="G36" s="4" t="n"/>
      <c r="H36" s="8">
        <f>IF(A36="","",C36&amp;"|"&amp;SUMPRODUCT((C$19:C36=C36)*(A$19:A36&lt;&gt;"")))</f>
        <v/>
      </c>
      <c r="J36" s="4" t="n"/>
      <c r="K36" s="4" t="n"/>
      <c r="L36" s="4" t="n"/>
      <c r="M36" s="6" t="n"/>
    </row>
    <row r="37">
      <c r="A37" s="4" t="n"/>
      <c r="B37" s="4" t="n"/>
      <c r="C37" s="4" t="n"/>
      <c r="D37" s="6" t="n"/>
      <c r="E37" s="6" t="n"/>
      <c r="F37" s="12" t="n"/>
      <c r="G37" s="4" t="n"/>
      <c r="H37" s="8">
        <f>IF(A37="","",C37&amp;"|"&amp;SUMPRODUCT((C$19:C37=C37)*(A$19:A37&lt;&gt;"")))</f>
        <v/>
      </c>
      <c r="J37" s="4" t="n"/>
      <c r="K37" s="4" t="n"/>
      <c r="L37" s="4" t="n"/>
      <c r="M37" s="6" t="n"/>
    </row>
    <row r="38">
      <c r="A38" s="4" t="n"/>
      <c r="B38" s="4" t="n"/>
      <c r="C38" s="4" t="n"/>
      <c r="D38" s="6" t="n"/>
      <c r="E38" s="6" t="n"/>
      <c r="F38" s="12" t="n"/>
      <c r="G38" s="4" t="n"/>
      <c r="H38" s="8">
        <f>IF(A38="","",C38&amp;"|"&amp;SUMPRODUCT((C$19:C38=C38)*(A$19:A38&lt;&gt;"")))</f>
        <v/>
      </c>
      <c r="J38" s="4" t="n"/>
      <c r="K38" s="4" t="n"/>
      <c r="L38" s="4" t="n"/>
      <c r="M38" s="6" t="n"/>
    </row>
    <row r="39">
      <c r="A39" s="4" t="n"/>
      <c r="B39" s="4" t="n"/>
      <c r="C39" s="4" t="n"/>
      <c r="D39" s="6" t="n"/>
      <c r="E39" s="6" t="n"/>
      <c r="F39" s="12" t="n"/>
      <c r="G39" s="4" t="n"/>
      <c r="H39" s="8">
        <f>IF(A39="","",C39&amp;"|"&amp;SUMPRODUCT((C$19:C39=C39)*(A$19:A39&lt;&gt;"")))</f>
        <v/>
      </c>
      <c r="J39" s="2" t="inlineStr">
        <is>
          <t>اليوم الكامل يُحسب في الوردية الصباحية والمسائية معًا.</t>
        </is>
      </c>
    </row>
    <row r="40">
      <c r="A40" s="4" t="n"/>
      <c r="B40" s="4" t="n"/>
      <c r="C40" s="4" t="n"/>
      <c r="D40" s="6" t="n"/>
      <c r="E40" s="6" t="n"/>
      <c r="F40" s="12" t="n"/>
      <c r="G40" s="4" t="n"/>
      <c r="H40" s="8">
        <f>IF(A40="","",C40&amp;"|"&amp;SUMPRODUCT((C$19:C40=C40)*(A$19:A40&lt;&gt;"")))</f>
        <v/>
      </c>
    </row>
    <row r="41">
      <c r="A41" s="4" t="n"/>
      <c r="B41" s="4" t="n"/>
      <c r="C41" s="4" t="n"/>
      <c r="D41" s="6" t="n"/>
      <c r="E41" s="6" t="n"/>
      <c r="F41" s="12" t="n"/>
      <c r="G41" s="4" t="n"/>
      <c r="H41" s="8">
        <f>IF(A41="","",C41&amp;"|"&amp;SUMPRODUCT((C$19:C41=C41)*(A$19:A41&lt;&gt;"")))</f>
        <v/>
      </c>
    </row>
    <row r="42">
      <c r="A42" s="4" t="n"/>
      <c r="B42" s="4" t="n"/>
      <c r="C42" s="4" t="n"/>
      <c r="D42" s="6" t="n"/>
      <c r="E42" s="6" t="n"/>
      <c r="F42" s="12" t="n"/>
      <c r="G42" s="4" t="n"/>
      <c r="H42" s="8">
        <f>IF(A42="","",C42&amp;"|"&amp;SUMPRODUCT((C$19:C42=C42)*(A$19:A42&lt;&gt;"")))</f>
        <v/>
      </c>
    </row>
    <row r="43">
      <c r="A43" s="4" t="n"/>
      <c r="B43" s="4" t="n"/>
      <c r="C43" s="4" t="n"/>
      <c r="D43" s="6" t="n"/>
      <c r="E43" s="6" t="n"/>
      <c r="F43" s="12" t="n"/>
      <c r="G43" s="4" t="n"/>
      <c r="H43" s="8">
        <f>IF(A43="","",C43&amp;"|"&amp;SUMPRODUCT((C$19:C43=C43)*(A$19:A43&lt;&gt;"")))</f>
        <v/>
      </c>
    </row>
    <row r="44">
      <c r="A44" s="4" t="n"/>
      <c r="B44" s="4" t="n"/>
      <c r="C44" s="4" t="n"/>
      <c r="D44" s="6" t="n"/>
      <c r="E44" s="6" t="n"/>
      <c r="F44" s="12" t="n"/>
      <c r="G44" s="4" t="n"/>
      <c r="H44" s="8">
        <f>IF(A44="","",C44&amp;"|"&amp;SUMPRODUCT((C$19:C44=C44)*(A$19:A44&lt;&gt;"")))</f>
        <v/>
      </c>
    </row>
    <row r="45">
      <c r="A45" s="4" t="n"/>
      <c r="B45" s="4" t="n"/>
      <c r="C45" s="4" t="n"/>
      <c r="D45" s="6" t="n"/>
      <c r="E45" s="6" t="n"/>
      <c r="F45" s="12" t="n"/>
      <c r="G45" s="4" t="n"/>
      <c r="H45" s="8">
        <f>IF(A45="","",C45&amp;"|"&amp;SUMPRODUCT((C$19:C45=C45)*(A$19:A45&lt;&gt;"")))</f>
        <v/>
      </c>
    </row>
    <row r="46">
      <c r="A46" s="4" t="n"/>
      <c r="B46" s="4" t="n"/>
      <c r="C46" s="4" t="n"/>
      <c r="D46" s="6" t="n"/>
      <c r="E46" s="6" t="n"/>
      <c r="F46" s="12" t="n"/>
      <c r="G46" s="4" t="n"/>
      <c r="H46" s="8">
        <f>IF(A46="","",C46&amp;"|"&amp;SUMPRODUCT((C$19:C46=C46)*(A$19:A46&lt;&gt;"")))</f>
        <v/>
      </c>
    </row>
    <row r="47">
      <c r="A47" s="4" t="n"/>
      <c r="B47" s="4" t="n"/>
      <c r="C47" s="4" t="n"/>
      <c r="D47" s="6" t="n"/>
      <c r="E47" s="6" t="n"/>
      <c r="F47" s="12" t="n"/>
      <c r="G47" s="4" t="n"/>
      <c r="H47" s="8">
        <f>IF(A47="","",C47&amp;"|"&amp;SUMPRODUCT((C$19:C47=C47)*(A$19:A47&lt;&gt;"")))</f>
        <v/>
      </c>
    </row>
    <row r="48">
      <c r="A48" s="4" t="n"/>
      <c r="B48" s="4" t="n"/>
      <c r="C48" s="4" t="n"/>
      <c r="D48" s="6" t="n"/>
      <c r="E48" s="6" t="n"/>
      <c r="F48" s="12" t="n"/>
      <c r="G48" s="4" t="n"/>
      <c r="H48" s="8">
        <f>IF(A48="","",C48&amp;"|"&amp;SUMPRODUCT((C$19:C48=C48)*(A$19:A48&lt;&gt;"")))</f>
        <v/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1" formatRows="0" sort="0"/>
  <mergeCells count="2">
    <mergeCell ref="B3:C3"/>
    <mergeCell ref="A15:B15"/>
  </mergeCells>
  <dataValidations count="6">
    <dataValidation sqref="C8:C14" showDropDown="0" showInputMessage="0" showErrorMessage="0" allowBlank="1" errorTitle="قيمة غير صحيحة" error="اختر من القائمة." type="list">
      <formula1>"نعم,لا"</formula1>
    </dataValidation>
    <dataValidation sqref="B19:B48" showDropDown="0" showInputMessage="0" showErrorMessage="0" allowBlank="1" errorTitle="قيمة غير صحيحة" error="اختر من القائمة." type="list">
      <formula1>=Roles</formula1>
    </dataValidation>
    <dataValidation sqref="C19:C48" showDropDown="0" showInputMessage="0" showErrorMessage="0" allowBlank="1" errorTitle="قيمة غير صحيحة" error="اختر من القائمة." type="list">
      <formula1>=Branches</formula1>
    </dataValidation>
    <dataValidation sqref="J19:J38" showDropDown="0" showInputMessage="0" showErrorMessage="0" allowBlank="1" errorTitle="قيمة غير صحيحة" error="اختر من القائمة." type="list">
      <formula1>=Branches</formula1>
    </dataValidation>
    <dataValidation sqref="K19:K38" showDropDown="0" showInputMessage="0" showErrorMessage="0" allowBlank="1" errorTitle="قيمة غير صحيحة" error="اختر من القائمة." type="list">
      <formula1>"صباحي,مسائي"</formula1>
    </dataValidation>
    <dataValidation sqref="L19:L38" showDropDown="0" showInputMessage="0" showErrorMessage="0" allowBlank="1" errorTitle="قيمة غير صحيحة" error="اختر من القائمة." type="list">
      <formula1>=Roles</formula1>
    </dataValidation>
  </dataValidations>
  <pageMargins left="0.75" right="0.75" top="1" bottom="1" header="0.5" footer="0.5"/>
  <pageSetup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19"/>
  <sheetViews>
    <sheetView showGridLines="0" rightToLeft="1" tabSelected="0" zoomScale="110" workbookViewId="0">
      <selection activeCell="A1" sqref="A1"/>
    </sheetView>
  </sheetViews>
  <sheetFormatPr baseColWidth="8" defaultRowHeight="15"/>
  <cols>
    <col width="6" customWidth="1" min="1" max="1"/>
    <col width="96" customWidth="1" min="2" max="2"/>
  </cols>
  <sheetData>
    <row r="1" ht="24" customHeight="1">
      <c r="A1" s="1" t="inlineStr">
        <is>
          <t>كيف تستخدمه</t>
        </is>
      </c>
    </row>
    <row r="3" ht="30" customHeight="1">
      <c r="A3" s="3" t="n">
        <v>1</v>
      </c>
      <c r="B3" s="13" t="inlineStr">
        <is>
          <t>في «الإعدادات»: أيام العمل، والورديات وساعاتها، والموظفون (الوظيفة والفرع وحد الساعات ورصيد الإجازة)، والحد الأدنى لكل وردية ووظيفة وفرع.</t>
        </is>
      </c>
    </row>
    <row r="4" ht="30" customHeight="1">
      <c r="A4" s="3" t="n">
        <v>2</v>
      </c>
      <c r="B4" s="13" t="inlineStr">
        <is>
          <t>في «خطة الورديات» اكتب أول يوم في الشهر، ثم رمز الوردية لكل موظف ولكل يوم من القائمة.</t>
        </is>
      </c>
    </row>
    <row r="5" ht="30" customHeight="1">
      <c r="A5" s="3" t="n">
        <v>3</v>
      </c>
      <c r="B5" s="13" t="inlineStr">
        <is>
          <t>سجّل كل طلب إجازة في «الإجازات». عند اعتماده يظهر رمز الإجازة وحده في «الشهر»، ويُعلَّم أي طلبين متداخلين في الفرع نفسه.</t>
        </is>
      </c>
    </row>
    <row r="6" ht="30" customHeight="1">
      <c r="A6" s="3" t="n">
        <v>4</v>
      </c>
      <c r="B6" s="13" t="inlineStr">
        <is>
          <t>«الشهر» يلوّن بالأحمر من تجاوز حد ساعاته في أسبوع، وكل يوم تقل فيه التغطية عن الحد الأدنى. «طباعة الأسبوع» تطبع جدول الفرع للوحة الإعلانات.</t>
        </is>
      </c>
    </row>
    <row r="7" ht="30" customHeight="1">
      <c r="A7" s="3" t="n">
        <v>5</v>
      </c>
      <c r="B7" s="13" t="inlineStr">
        <is>
          <t>الخلايا الرمادية معادلات محمية بلا كلمة مرور. لإلغاء الحماية: مراجعة ← إلغاء حماية الورقة.</t>
        </is>
      </c>
    </row>
    <row r="9">
      <c r="B9" s="14" t="inlineStr">
        <is>
          <t>مسح البيانات التجريبية</t>
        </is>
      </c>
    </row>
    <row r="10" ht="30" customHeight="1">
      <c r="B10" s="13" t="inlineStr">
        <is>
          <t>حدد هذه النطاقات واضغط Delete. لا تحذف الصفوف نفسها: المعادلات في الأعمدة الرمادية تبقى وتعمل مع أرقامك.</t>
        </is>
      </c>
    </row>
    <row r="11">
      <c r="B11" s="15" t="inlineStr">
        <is>
          <t>«خطة الورديات» A8:A15</t>
        </is>
      </c>
    </row>
    <row r="12">
      <c r="B12" s="15" t="inlineStr">
        <is>
          <t>«خطة الورديات» C8:AG15</t>
        </is>
      </c>
    </row>
    <row r="13">
      <c r="B13" s="15" t="inlineStr">
        <is>
          <t>«خطة الورديات» A18:A25</t>
        </is>
      </c>
    </row>
    <row r="14">
      <c r="B14" s="15" t="inlineStr">
        <is>
          <t>«خطة الورديات» C18:AG25</t>
        </is>
      </c>
    </row>
    <row r="15">
      <c r="B15" s="15" t="inlineStr">
        <is>
          <t>«الإجازات» A3:A8</t>
        </is>
      </c>
    </row>
    <row r="16">
      <c r="B16" s="15" t="inlineStr">
        <is>
          <t>«الإجازات» C3:E8</t>
        </is>
      </c>
    </row>
    <row r="17">
      <c r="B17" s="15" t="inlineStr">
        <is>
          <t>«الإجازات» G3:H8</t>
        </is>
      </c>
    </row>
    <row r="19">
      <c r="B19" s="14" t="inlineStr">
        <is>
          <t>هذه الأرقام تُملأ تلقائيًا في ميديكولايز. اطلب عرضًا ←</t>
        </is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1" formatRows="0" sort="0"/>
  <mergeCells count="1">
    <mergeCell ref="B19"/>
  </mergeCells>
  <hyperlinks>
    <hyperlink xmlns:r="http://schemas.openxmlformats.org/officeDocument/2006/relationships" ref="B19" r:id="rId1"/>
  </hyperlinks>
  <pageMargins left="0.75" right="0.75" top="1" bottom="1" header="0.5" footer="0.5"/>
  <pageSetup paperSize="9" fitToHeight="0" fitToWidth="1"/>
</worksheet>
</file>

<file path=xl/worksheets/sheet3.xml><?xml version="1.0" encoding="utf-8"?>
<worksheet xmlns="http://schemas.openxmlformats.org/spreadsheetml/2006/main">
  <sheetPr>
    <tabColor rgb="001F7A46"/>
    <outlinePr summaryBelow="1" summaryRight="1"/>
    <pageSetUpPr fitToPage="1"/>
  </sheetPr>
  <dimension ref="A1:AN27"/>
  <sheetViews>
    <sheetView showGridLines="0" rightToLeft="1" tabSelected="0" zoomScale="110"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0" customWidth="1" min="1" max="1"/>
    <col width="12" customWidth="1" min="2" max="2"/>
    <col width="4.6" customWidth="1" min="3" max="3"/>
    <col width="4.6" customWidth="1" min="4" max="4"/>
    <col width="4.6" customWidth="1" min="5" max="5"/>
    <col width="4.6" customWidth="1" min="6" max="6"/>
    <col width="4.6" customWidth="1" min="7" max="7"/>
    <col width="4.6" customWidth="1" min="8" max="8"/>
    <col width="4.6" customWidth="1" min="9" max="9"/>
    <col width="4.6" customWidth="1" min="10" max="10"/>
    <col width="4.6" customWidth="1" min="11" max="11"/>
    <col width="4.6" customWidth="1" min="12" max="12"/>
    <col width="4.6" customWidth="1" min="13" max="13"/>
    <col width="4.6" customWidth="1" min="14" max="14"/>
    <col width="4.6" customWidth="1" min="15" max="15"/>
    <col width="4.6" customWidth="1" min="16" max="16"/>
    <col width="4.6" customWidth="1" min="17" max="17"/>
    <col width="4.6" customWidth="1" min="18" max="18"/>
    <col width="4.6" customWidth="1" min="19" max="19"/>
    <col width="4.6" customWidth="1" min="20" max="20"/>
    <col width="4.6" customWidth="1" min="21" max="21"/>
    <col width="4.6" customWidth="1" min="22" max="22"/>
    <col width="4.6" customWidth="1" min="23" max="23"/>
    <col width="4.6" customWidth="1" min="24" max="24"/>
    <col width="4.6" customWidth="1" min="25" max="25"/>
    <col width="4.6" customWidth="1" min="26" max="26"/>
    <col width="4.6" customWidth="1" min="27" max="27"/>
    <col width="4.6" customWidth="1" min="28" max="28"/>
    <col width="4.6" customWidth="1" min="29" max="29"/>
    <col width="4.6" customWidth="1" min="30" max="30"/>
    <col width="4.6" customWidth="1" min="31" max="31"/>
    <col width="4.6" customWidth="1" min="32" max="32"/>
    <col width="4.6" customWidth="1" min="33" max="33"/>
  </cols>
  <sheetData>
    <row r="1" ht="22" customHeight="1">
      <c r="A1" s="16" t="inlineStr">
        <is>
          <t>بيانات تجريبية، احذفها وابدأ. طريقة المسح في ورقة «كيف تستخدمه».</t>
        </is>
      </c>
    </row>
    <row r="2">
      <c r="A2" s="3" t="inlineStr">
        <is>
          <t>الشهر (أول يوم فيه)</t>
        </is>
      </c>
      <c r="B2" s="11" t="n"/>
      <c r="C2" s="12" t="n">
        <v>46204</v>
      </c>
      <c r="D2" s="17" t="n"/>
      <c r="E2" s="17" t="n"/>
      <c r="F2" s="5" t="n"/>
      <c r="AI2" s="3" t="inlineStr">
        <is>
          <t>الرموز</t>
        </is>
      </c>
      <c r="AJ2" s="18">
        <f>'الإعدادات'!E8</f>
        <v/>
      </c>
      <c r="AK2" s="19">
        <f>'الإعدادات'!E9</f>
        <v/>
      </c>
      <c r="AL2" s="20">
        <f>'الإعدادات'!E10</f>
        <v/>
      </c>
      <c r="AM2" s="21">
        <f>'الإعدادات'!E11</f>
        <v/>
      </c>
      <c r="AN2" s="22">
        <f>'الإعدادات'!E12</f>
        <v/>
      </c>
    </row>
    <row r="3">
      <c r="A3" s="3" t="inlineStr">
        <is>
          <t>اليوم</t>
        </is>
      </c>
      <c r="C3" s="23">
        <f>IF(1&gt;DAY(EOMONTH($C$2,0)),"",DATE(YEAR($C$2),MONTH($C$2),1))</f>
        <v/>
      </c>
      <c r="D3" s="23">
        <f>IF(2&gt;DAY(EOMONTH($C$2,0)),"",DATE(YEAR($C$2),MONTH($C$2),2))</f>
        <v/>
      </c>
      <c r="E3" s="23">
        <f>IF(3&gt;DAY(EOMONTH($C$2,0)),"",DATE(YEAR($C$2),MONTH($C$2),3))</f>
        <v/>
      </c>
      <c r="F3" s="23">
        <f>IF(4&gt;DAY(EOMONTH($C$2,0)),"",DATE(YEAR($C$2),MONTH($C$2),4))</f>
        <v/>
      </c>
      <c r="G3" s="23">
        <f>IF(5&gt;DAY(EOMONTH($C$2,0)),"",DATE(YEAR($C$2),MONTH($C$2),5))</f>
        <v/>
      </c>
      <c r="H3" s="23">
        <f>IF(6&gt;DAY(EOMONTH($C$2,0)),"",DATE(YEAR($C$2),MONTH($C$2),6))</f>
        <v/>
      </c>
      <c r="I3" s="23">
        <f>IF(7&gt;DAY(EOMONTH($C$2,0)),"",DATE(YEAR($C$2),MONTH($C$2),7))</f>
        <v/>
      </c>
      <c r="J3" s="23">
        <f>IF(8&gt;DAY(EOMONTH($C$2,0)),"",DATE(YEAR($C$2),MONTH($C$2),8))</f>
        <v/>
      </c>
      <c r="K3" s="23">
        <f>IF(9&gt;DAY(EOMONTH($C$2,0)),"",DATE(YEAR($C$2),MONTH($C$2),9))</f>
        <v/>
      </c>
      <c r="L3" s="23">
        <f>IF(10&gt;DAY(EOMONTH($C$2,0)),"",DATE(YEAR($C$2),MONTH($C$2),10))</f>
        <v/>
      </c>
      <c r="M3" s="23">
        <f>IF(11&gt;DAY(EOMONTH($C$2,0)),"",DATE(YEAR($C$2),MONTH($C$2),11))</f>
        <v/>
      </c>
      <c r="N3" s="23">
        <f>IF(12&gt;DAY(EOMONTH($C$2,0)),"",DATE(YEAR($C$2),MONTH($C$2),12))</f>
        <v/>
      </c>
      <c r="O3" s="23">
        <f>IF(13&gt;DAY(EOMONTH($C$2,0)),"",DATE(YEAR($C$2),MONTH($C$2),13))</f>
        <v/>
      </c>
      <c r="P3" s="23">
        <f>IF(14&gt;DAY(EOMONTH($C$2,0)),"",DATE(YEAR($C$2),MONTH($C$2),14))</f>
        <v/>
      </c>
      <c r="Q3" s="23">
        <f>IF(15&gt;DAY(EOMONTH($C$2,0)),"",DATE(YEAR($C$2),MONTH($C$2),15))</f>
        <v/>
      </c>
      <c r="R3" s="23">
        <f>IF(16&gt;DAY(EOMONTH($C$2,0)),"",DATE(YEAR($C$2),MONTH($C$2),16))</f>
        <v/>
      </c>
      <c r="S3" s="23">
        <f>IF(17&gt;DAY(EOMONTH($C$2,0)),"",DATE(YEAR($C$2),MONTH($C$2),17))</f>
        <v/>
      </c>
      <c r="T3" s="23">
        <f>IF(18&gt;DAY(EOMONTH($C$2,0)),"",DATE(YEAR($C$2),MONTH($C$2),18))</f>
        <v/>
      </c>
      <c r="U3" s="23">
        <f>IF(19&gt;DAY(EOMONTH($C$2,0)),"",DATE(YEAR($C$2),MONTH($C$2),19))</f>
        <v/>
      </c>
      <c r="V3" s="23">
        <f>IF(20&gt;DAY(EOMONTH($C$2,0)),"",DATE(YEAR($C$2),MONTH($C$2),20))</f>
        <v/>
      </c>
      <c r="W3" s="23">
        <f>IF(21&gt;DAY(EOMONTH($C$2,0)),"",DATE(YEAR($C$2),MONTH($C$2),21))</f>
        <v/>
      </c>
      <c r="X3" s="23">
        <f>IF(22&gt;DAY(EOMONTH($C$2,0)),"",DATE(YEAR($C$2),MONTH($C$2),22))</f>
        <v/>
      </c>
      <c r="Y3" s="23">
        <f>IF(23&gt;DAY(EOMONTH($C$2,0)),"",DATE(YEAR($C$2),MONTH($C$2),23))</f>
        <v/>
      </c>
      <c r="Z3" s="23">
        <f>IF(24&gt;DAY(EOMONTH($C$2,0)),"",DATE(YEAR($C$2),MONTH($C$2),24))</f>
        <v/>
      </c>
      <c r="AA3" s="23">
        <f>IF(25&gt;DAY(EOMONTH($C$2,0)),"",DATE(YEAR($C$2),MONTH($C$2),25))</f>
        <v/>
      </c>
      <c r="AB3" s="23">
        <f>IF(26&gt;DAY(EOMONTH($C$2,0)),"",DATE(YEAR($C$2),MONTH($C$2),26))</f>
        <v/>
      </c>
      <c r="AC3" s="23">
        <f>IF(27&gt;DAY(EOMONTH($C$2,0)),"",DATE(YEAR($C$2),MONTH($C$2),27))</f>
        <v/>
      </c>
      <c r="AD3" s="23">
        <f>IF(28&gt;DAY(EOMONTH($C$2,0)),"",DATE(YEAR($C$2),MONTH($C$2),28))</f>
        <v/>
      </c>
      <c r="AE3" s="23">
        <f>IF(29&gt;DAY(EOMONTH($C$2,0)),"",DATE(YEAR($C$2),MONTH($C$2),29))</f>
        <v/>
      </c>
      <c r="AF3" s="23">
        <f>IF(30&gt;DAY(EOMONTH($C$2,0)),"",DATE(YEAR($C$2),MONTH($C$2),30))</f>
        <v/>
      </c>
      <c r="AG3" s="23">
        <f>IF(31&gt;DAY(EOMONTH($C$2,0)),"",DATE(YEAR($C$2),MONTH($C$2),31))</f>
        <v/>
      </c>
      <c r="AJ3" s="2">
        <f>'الإعدادات'!F8</f>
        <v/>
      </c>
      <c r="AK3" s="2">
        <f>'الإعدادات'!F9</f>
        <v/>
      </c>
      <c r="AL3" s="2">
        <f>'الإعدادات'!F10</f>
        <v/>
      </c>
      <c r="AM3" s="2">
        <f>'الإعدادات'!F11</f>
        <v/>
      </c>
      <c r="AN3" s="2">
        <f>'الإعدادات'!F12</f>
        <v/>
      </c>
    </row>
    <row r="4">
      <c r="A4" s="3" t="inlineStr">
        <is>
          <t>اليوم من الأسبوع</t>
        </is>
      </c>
      <c r="C4" s="24">
        <f>IF(C3="","",INDEX(DayNames,WEEKDAY(C3,2)))</f>
        <v/>
      </c>
      <c r="D4" s="24">
        <f>IF(D3="","",INDEX(DayNames,WEEKDAY(D3,2)))</f>
        <v/>
      </c>
      <c r="E4" s="24">
        <f>IF(E3="","",INDEX(DayNames,WEEKDAY(E3,2)))</f>
        <v/>
      </c>
      <c r="F4" s="24">
        <f>IF(F3="","",INDEX(DayNames,WEEKDAY(F3,2)))</f>
        <v/>
      </c>
      <c r="G4" s="24">
        <f>IF(G3="","",INDEX(DayNames,WEEKDAY(G3,2)))</f>
        <v/>
      </c>
      <c r="H4" s="24">
        <f>IF(H3="","",INDEX(DayNames,WEEKDAY(H3,2)))</f>
        <v/>
      </c>
      <c r="I4" s="24">
        <f>IF(I3="","",INDEX(DayNames,WEEKDAY(I3,2)))</f>
        <v/>
      </c>
      <c r="J4" s="24">
        <f>IF(J3="","",INDEX(DayNames,WEEKDAY(J3,2)))</f>
        <v/>
      </c>
      <c r="K4" s="24">
        <f>IF(K3="","",INDEX(DayNames,WEEKDAY(K3,2)))</f>
        <v/>
      </c>
      <c r="L4" s="24">
        <f>IF(L3="","",INDEX(DayNames,WEEKDAY(L3,2)))</f>
        <v/>
      </c>
      <c r="M4" s="24">
        <f>IF(M3="","",INDEX(DayNames,WEEKDAY(M3,2)))</f>
        <v/>
      </c>
      <c r="N4" s="24">
        <f>IF(N3="","",INDEX(DayNames,WEEKDAY(N3,2)))</f>
        <v/>
      </c>
      <c r="O4" s="24">
        <f>IF(O3="","",INDEX(DayNames,WEEKDAY(O3,2)))</f>
        <v/>
      </c>
      <c r="P4" s="24">
        <f>IF(P3="","",INDEX(DayNames,WEEKDAY(P3,2)))</f>
        <v/>
      </c>
      <c r="Q4" s="24">
        <f>IF(Q3="","",INDEX(DayNames,WEEKDAY(Q3,2)))</f>
        <v/>
      </c>
      <c r="R4" s="24">
        <f>IF(R3="","",INDEX(DayNames,WEEKDAY(R3,2)))</f>
        <v/>
      </c>
      <c r="S4" s="24">
        <f>IF(S3="","",INDEX(DayNames,WEEKDAY(S3,2)))</f>
        <v/>
      </c>
      <c r="T4" s="24">
        <f>IF(T3="","",INDEX(DayNames,WEEKDAY(T3,2)))</f>
        <v/>
      </c>
      <c r="U4" s="24">
        <f>IF(U3="","",INDEX(DayNames,WEEKDAY(U3,2)))</f>
        <v/>
      </c>
      <c r="V4" s="24">
        <f>IF(V3="","",INDEX(DayNames,WEEKDAY(V3,2)))</f>
        <v/>
      </c>
      <c r="W4" s="24">
        <f>IF(W3="","",INDEX(DayNames,WEEKDAY(W3,2)))</f>
        <v/>
      </c>
      <c r="X4" s="24">
        <f>IF(X3="","",INDEX(DayNames,WEEKDAY(X3,2)))</f>
        <v/>
      </c>
      <c r="Y4" s="24">
        <f>IF(Y3="","",INDEX(DayNames,WEEKDAY(Y3,2)))</f>
        <v/>
      </c>
      <c r="Z4" s="24">
        <f>IF(Z3="","",INDEX(DayNames,WEEKDAY(Z3,2)))</f>
        <v/>
      </c>
      <c r="AA4" s="24">
        <f>IF(AA3="","",INDEX(DayNames,WEEKDAY(AA3,2)))</f>
        <v/>
      </c>
      <c r="AB4" s="24">
        <f>IF(AB3="","",INDEX(DayNames,WEEKDAY(AB3,2)))</f>
        <v/>
      </c>
      <c r="AC4" s="24">
        <f>IF(AC3="","",INDEX(DayNames,WEEKDAY(AC3,2)))</f>
        <v/>
      </c>
      <c r="AD4" s="24">
        <f>IF(AD3="","",INDEX(DayNames,WEEKDAY(AD3,2)))</f>
        <v/>
      </c>
      <c r="AE4" s="24">
        <f>IF(AE3="","",INDEX(DayNames,WEEKDAY(AE3,2)))</f>
        <v/>
      </c>
      <c r="AF4" s="24">
        <f>IF(AF3="","",INDEX(DayNames,WEEKDAY(AF3,2)))</f>
        <v/>
      </c>
      <c r="AG4" s="24">
        <f>IF(AG3="","",INDEX(DayNames,WEEKDAY(AG3,2)))</f>
        <v/>
      </c>
    </row>
    <row r="5">
      <c r="A5" s="2" t="inlineStr">
        <is>
          <t>مفتوح (1) أو مغلق (0)</t>
        </is>
      </c>
      <c r="C5" s="25">
        <f>IF(C3="","",IF(INDEX(OpenDays,WEEKDAY(C3,2))="لا",0,1))</f>
        <v/>
      </c>
      <c r="D5" s="25">
        <f>IF(D3="","",IF(INDEX(OpenDays,WEEKDAY(D3,2))="لا",0,1))</f>
        <v/>
      </c>
      <c r="E5" s="25">
        <f>IF(E3="","",IF(INDEX(OpenDays,WEEKDAY(E3,2))="لا",0,1))</f>
        <v/>
      </c>
      <c r="F5" s="25">
        <f>IF(F3="","",IF(INDEX(OpenDays,WEEKDAY(F3,2))="لا",0,1))</f>
        <v/>
      </c>
      <c r="G5" s="25">
        <f>IF(G3="","",IF(INDEX(OpenDays,WEEKDAY(G3,2))="لا",0,1))</f>
        <v/>
      </c>
      <c r="H5" s="25">
        <f>IF(H3="","",IF(INDEX(OpenDays,WEEKDAY(H3,2))="لا",0,1))</f>
        <v/>
      </c>
      <c r="I5" s="25">
        <f>IF(I3="","",IF(INDEX(OpenDays,WEEKDAY(I3,2))="لا",0,1))</f>
        <v/>
      </c>
      <c r="J5" s="25">
        <f>IF(J3="","",IF(INDEX(OpenDays,WEEKDAY(J3,2))="لا",0,1))</f>
        <v/>
      </c>
      <c r="K5" s="25">
        <f>IF(K3="","",IF(INDEX(OpenDays,WEEKDAY(K3,2))="لا",0,1))</f>
        <v/>
      </c>
      <c r="L5" s="25">
        <f>IF(L3="","",IF(INDEX(OpenDays,WEEKDAY(L3,2))="لا",0,1))</f>
        <v/>
      </c>
      <c r="M5" s="25">
        <f>IF(M3="","",IF(INDEX(OpenDays,WEEKDAY(M3,2))="لا",0,1))</f>
        <v/>
      </c>
      <c r="N5" s="25">
        <f>IF(N3="","",IF(INDEX(OpenDays,WEEKDAY(N3,2))="لا",0,1))</f>
        <v/>
      </c>
      <c r="O5" s="25">
        <f>IF(O3="","",IF(INDEX(OpenDays,WEEKDAY(O3,2))="لا",0,1))</f>
        <v/>
      </c>
      <c r="P5" s="25">
        <f>IF(P3="","",IF(INDEX(OpenDays,WEEKDAY(P3,2))="لا",0,1))</f>
        <v/>
      </c>
      <c r="Q5" s="25">
        <f>IF(Q3="","",IF(INDEX(OpenDays,WEEKDAY(Q3,2))="لا",0,1))</f>
        <v/>
      </c>
      <c r="R5" s="25">
        <f>IF(R3="","",IF(INDEX(OpenDays,WEEKDAY(R3,2))="لا",0,1))</f>
        <v/>
      </c>
      <c r="S5" s="25">
        <f>IF(S3="","",IF(INDEX(OpenDays,WEEKDAY(S3,2))="لا",0,1))</f>
        <v/>
      </c>
      <c r="T5" s="25">
        <f>IF(T3="","",IF(INDEX(OpenDays,WEEKDAY(T3,2))="لا",0,1))</f>
        <v/>
      </c>
      <c r="U5" s="25">
        <f>IF(U3="","",IF(INDEX(OpenDays,WEEKDAY(U3,2))="لا",0,1))</f>
        <v/>
      </c>
      <c r="V5" s="25">
        <f>IF(V3="","",IF(INDEX(OpenDays,WEEKDAY(V3,2))="لا",0,1))</f>
        <v/>
      </c>
      <c r="W5" s="25">
        <f>IF(W3="","",IF(INDEX(OpenDays,WEEKDAY(W3,2))="لا",0,1))</f>
        <v/>
      </c>
      <c r="X5" s="25">
        <f>IF(X3="","",IF(INDEX(OpenDays,WEEKDAY(X3,2))="لا",0,1))</f>
        <v/>
      </c>
      <c r="Y5" s="25">
        <f>IF(Y3="","",IF(INDEX(OpenDays,WEEKDAY(Y3,2))="لا",0,1))</f>
        <v/>
      </c>
      <c r="Z5" s="25">
        <f>IF(Z3="","",IF(INDEX(OpenDays,WEEKDAY(Z3,2))="لا",0,1))</f>
        <v/>
      </c>
      <c r="AA5" s="25">
        <f>IF(AA3="","",IF(INDEX(OpenDays,WEEKDAY(AA3,2))="لا",0,1))</f>
        <v/>
      </c>
      <c r="AB5" s="25">
        <f>IF(AB3="","",IF(INDEX(OpenDays,WEEKDAY(AB3,2))="لا",0,1))</f>
        <v/>
      </c>
      <c r="AC5" s="25">
        <f>IF(AC3="","",IF(INDEX(OpenDays,WEEKDAY(AC3,2))="لا",0,1))</f>
        <v/>
      </c>
      <c r="AD5" s="25">
        <f>IF(AD3="","",IF(INDEX(OpenDays,WEEKDAY(AD3,2))="لا",0,1))</f>
        <v/>
      </c>
      <c r="AE5" s="25">
        <f>IF(AE3="","",IF(INDEX(OpenDays,WEEKDAY(AE3,2))="لا",0,1))</f>
        <v/>
      </c>
      <c r="AF5" s="25">
        <f>IF(AF3="","",IF(INDEX(OpenDays,WEEKDAY(AF3,2))="لا",0,1))</f>
        <v/>
      </c>
      <c r="AG5" s="25">
        <f>IF(AG3="","",IF(INDEX(OpenDays,WEEKDAY(AG3,2))="لا",0,1))</f>
        <v/>
      </c>
    </row>
    <row r="7">
      <c r="A7" s="26" t="inlineStr">
        <is>
          <t>الفرع الرئيسي</t>
        </is>
      </c>
      <c r="B7" s="3" t="inlineStr">
        <is>
          <t>الوظيفة</t>
        </is>
      </c>
    </row>
    <row r="8">
      <c r="A8" s="4" t="inlineStr">
        <is>
          <t>ريم عبدالله</t>
        </is>
      </c>
      <c r="B8" s="8">
        <f>IF(A8="","",IFERROR(INDEX(StaffRole,MATCH(A8,Staff,0)),""))</f>
        <v/>
      </c>
      <c r="C8" s="27" t="inlineStr">
        <is>
          <t>ص</t>
        </is>
      </c>
      <c r="D8" s="27" t="inlineStr">
        <is>
          <t>ص</t>
        </is>
      </c>
      <c r="E8" s="27" t="inlineStr">
        <is>
          <t>ر</t>
        </is>
      </c>
      <c r="F8" s="27" t="inlineStr">
        <is>
          <t>ص</t>
        </is>
      </c>
      <c r="G8" s="27" t="inlineStr">
        <is>
          <t>ص</t>
        </is>
      </c>
      <c r="H8" s="27" t="inlineStr">
        <is>
          <t>ص</t>
        </is>
      </c>
      <c r="I8" s="27" t="inlineStr">
        <is>
          <t>ص</t>
        </is>
      </c>
      <c r="J8" s="27" t="inlineStr">
        <is>
          <t>ص</t>
        </is>
      </c>
      <c r="K8" s="27" t="inlineStr">
        <is>
          <t>ص</t>
        </is>
      </c>
      <c r="L8" s="27" t="inlineStr">
        <is>
          <t>ر</t>
        </is>
      </c>
      <c r="M8" s="27" t="inlineStr">
        <is>
          <t>ص</t>
        </is>
      </c>
      <c r="N8" s="27" t="inlineStr">
        <is>
          <t>ص</t>
        </is>
      </c>
      <c r="O8" s="27" t="inlineStr">
        <is>
          <t>ص</t>
        </is>
      </c>
      <c r="P8" s="27" t="inlineStr">
        <is>
          <t>ص</t>
        </is>
      </c>
      <c r="Q8" s="27" t="inlineStr">
        <is>
          <t>ص</t>
        </is>
      </c>
      <c r="R8" s="27" t="inlineStr">
        <is>
          <t>ص</t>
        </is>
      </c>
      <c r="S8" s="27" t="inlineStr">
        <is>
          <t>ر</t>
        </is>
      </c>
      <c r="T8" s="27" t="inlineStr">
        <is>
          <t>ص</t>
        </is>
      </c>
      <c r="U8" s="27" t="inlineStr">
        <is>
          <t>ص</t>
        </is>
      </c>
      <c r="V8" s="27" t="inlineStr">
        <is>
          <t>ص</t>
        </is>
      </c>
      <c r="W8" s="27" t="inlineStr">
        <is>
          <t>ص</t>
        </is>
      </c>
      <c r="X8" s="27" t="inlineStr">
        <is>
          <t>ص</t>
        </is>
      </c>
      <c r="Y8" s="27" t="inlineStr">
        <is>
          <t>ص</t>
        </is>
      </c>
      <c r="Z8" s="27" t="inlineStr">
        <is>
          <t>ر</t>
        </is>
      </c>
      <c r="AA8" s="27" t="inlineStr">
        <is>
          <t>ص</t>
        </is>
      </c>
      <c r="AB8" s="27" t="inlineStr">
        <is>
          <t>ص</t>
        </is>
      </c>
      <c r="AC8" s="27" t="inlineStr">
        <is>
          <t>ص</t>
        </is>
      </c>
      <c r="AD8" s="27" t="inlineStr">
        <is>
          <t>ص</t>
        </is>
      </c>
      <c r="AE8" s="27" t="inlineStr">
        <is>
          <t>ص</t>
        </is>
      </c>
      <c r="AF8" s="27" t="inlineStr">
        <is>
          <t>ص</t>
        </is>
      </c>
      <c r="AG8" s="27" t="inlineStr">
        <is>
          <t>ر</t>
        </is>
      </c>
    </row>
    <row r="9">
      <c r="A9" s="4" t="inlineStr">
        <is>
          <t>هالة سمير</t>
        </is>
      </c>
      <c r="B9" s="8">
        <f>IF(A9="","",IFERROR(INDEX(StaffRole,MATCH(A9,Staff,0)),""))</f>
        <v/>
      </c>
      <c r="C9" s="27" t="inlineStr">
        <is>
          <t>م</t>
        </is>
      </c>
      <c r="D9" s="27" t="inlineStr">
        <is>
          <t>م</t>
        </is>
      </c>
      <c r="E9" s="27" t="inlineStr">
        <is>
          <t>ر</t>
        </is>
      </c>
      <c r="F9" s="27" t="inlineStr">
        <is>
          <t>م</t>
        </is>
      </c>
      <c r="G9" s="27" t="inlineStr">
        <is>
          <t>م</t>
        </is>
      </c>
      <c r="H9" s="27" t="inlineStr">
        <is>
          <t>م</t>
        </is>
      </c>
      <c r="I9" s="27" t="inlineStr">
        <is>
          <t>م</t>
        </is>
      </c>
      <c r="J9" s="27" t="inlineStr">
        <is>
          <t>م</t>
        </is>
      </c>
      <c r="K9" s="27" t="inlineStr">
        <is>
          <t>م</t>
        </is>
      </c>
      <c r="L9" s="27" t="inlineStr">
        <is>
          <t>ر</t>
        </is>
      </c>
      <c r="M9" s="27" t="inlineStr">
        <is>
          <t>م</t>
        </is>
      </c>
      <c r="N9" s="27" t="inlineStr">
        <is>
          <t>م</t>
        </is>
      </c>
      <c r="O9" s="27" t="inlineStr">
        <is>
          <t>م</t>
        </is>
      </c>
      <c r="P9" s="27" t="inlineStr">
        <is>
          <t>م</t>
        </is>
      </c>
      <c r="Q9" s="27" t="inlineStr">
        <is>
          <t>م</t>
        </is>
      </c>
      <c r="R9" s="27" t="inlineStr">
        <is>
          <t>م</t>
        </is>
      </c>
      <c r="S9" s="27" t="inlineStr">
        <is>
          <t>ر</t>
        </is>
      </c>
      <c r="T9" s="27" t="inlineStr">
        <is>
          <t>م</t>
        </is>
      </c>
      <c r="U9" s="27" t="inlineStr">
        <is>
          <t>م</t>
        </is>
      </c>
      <c r="V9" s="27" t="inlineStr">
        <is>
          <t>م</t>
        </is>
      </c>
      <c r="W9" s="27" t="inlineStr">
        <is>
          <t>م</t>
        </is>
      </c>
      <c r="X9" s="27" t="inlineStr">
        <is>
          <t>م</t>
        </is>
      </c>
      <c r="Y9" s="27" t="inlineStr">
        <is>
          <t>م</t>
        </is>
      </c>
      <c r="Z9" s="27" t="inlineStr">
        <is>
          <t>ر</t>
        </is>
      </c>
      <c r="AA9" s="27" t="inlineStr">
        <is>
          <t>م</t>
        </is>
      </c>
      <c r="AB9" s="27" t="inlineStr">
        <is>
          <t>م</t>
        </is>
      </c>
      <c r="AC9" s="27" t="inlineStr">
        <is>
          <t>م</t>
        </is>
      </c>
      <c r="AD9" s="27" t="inlineStr">
        <is>
          <t>م</t>
        </is>
      </c>
      <c r="AE9" s="27" t="inlineStr">
        <is>
          <t>م</t>
        </is>
      </c>
      <c r="AF9" s="27" t="inlineStr">
        <is>
          <t>م</t>
        </is>
      </c>
      <c r="AG9" s="27" t="inlineStr">
        <is>
          <t>ر</t>
        </is>
      </c>
    </row>
    <row r="10">
      <c r="A10" s="4" t="inlineStr">
        <is>
          <t>منى فهد</t>
        </is>
      </c>
      <c r="B10" s="8">
        <f>IF(A10="","",IFERROR(INDEX(StaffRole,MATCH(A10,Staff,0)),""))</f>
        <v/>
      </c>
      <c r="C10" s="27" t="inlineStr">
        <is>
          <t>م</t>
        </is>
      </c>
      <c r="D10" s="27" t="inlineStr">
        <is>
          <t>م</t>
        </is>
      </c>
      <c r="E10" s="27" t="inlineStr">
        <is>
          <t>ر</t>
        </is>
      </c>
      <c r="F10" s="27" t="inlineStr">
        <is>
          <t>م</t>
        </is>
      </c>
      <c r="G10" s="27" t="inlineStr">
        <is>
          <t>م</t>
        </is>
      </c>
      <c r="H10" s="27" t="inlineStr">
        <is>
          <t>م</t>
        </is>
      </c>
      <c r="I10" s="27" t="inlineStr">
        <is>
          <t>م</t>
        </is>
      </c>
      <c r="J10" s="27" t="inlineStr">
        <is>
          <t>م</t>
        </is>
      </c>
      <c r="K10" s="27" t="inlineStr">
        <is>
          <t>م</t>
        </is>
      </c>
      <c r="L10" s="27" t="inlineStr">
        <is>
          <t>ر</t>
        </is>
      </c>
      <c r="M10" s="27" t="inlineStr">
        <is>
          <t>م</t>
        </is>
      </c>
      <c r="N10" s="27" t="inlineStr">
        <is>
          <t>م</t>
        </is>
      </c>
      <c r="O10" s="27" t="inlineStr">
        <is>
          <t>م</t>
        </is>
      </c>
      <c r="P10" s="27" t="inlineStr">
        <is>
          <t>م</t>
        </is>
      </c>
      <c r="Q10" s="27" t="inlineStr">
        <is>
          <t>م</t>
        </is>
      </c>
      <c r="R10" s="27" t="inlineStr">
        <is>
          <t>م</t>
        </is>
      </c>
      <c r="S10" s="27" t="inlineStr">
        <is>
          <t>ر</t>
        </is>
      </c>
      <c r="T10" s="27" t="inlineStr">
        <is>
          <t>م</t>
        </is>
      </c>
      <c r="U10" s="27" t="inlineStr">
        <is>
          <t>م</t>
        </is>
      </c>
      <c r="V10" s="27" t="inlineStr">
        <is>
          <t>م</t>
        </is>
      </c>
      <c r="W10" s="27" t="inlineStr">
        <is>
          <t>م</t>
        </is>
      </c>
      <c r="X10" s="27" t="inlineStr">
        <is>
          <t>م</t>
        </is>
      </c>
      <c r="Y10" s="27" t="inlineStr">
        <is>
          <t>م</t>
        </is>
      </c>
      <c r="Z10" s="27" t="inlineStr">
        <is>
          <t>ر</t>
        </is>
      </c>
      <c r="AA10" s="27" t="inlineStr">
        <is>
          <t>م</t>
        </is>
      </c>
      <c r="AB10" s="27" t="inlineStr">
        <is>
          <t>م</t>
        </is>
      </c>
      <c r="AC10" s="27" t="inlineStr">
        <is>
          <t>م</t>
        </is>
      </c>
      <c r="AD10" s="27" t="inlineStr">
        <is>
          <t>م</t>
        </is>
      </c>
      <c r="AE10" s="27" t="inlineStr">
        <is>
          <t>م</t>
        </is>
      </c>
      <c r="AF10" s="27" t="inlineStr">
        <is>
          <t>م</t>
        </is>
      </c>
      <c r="AG10" s="27" t="inlineStr">
        <is>
          <t>ر</t>
        </is>
      </c>
    </row>
    <row r="11">
      <c r="A11" s="4" t="inlineStr">
        <is>
          <t>سلمى ناصر</t>
        </is>
      </c>
      <c r="B11" s="8">
        <f>IF(A11="","",IFERROR(INDEX(StaffRole,MATCH(A11,Staff,0)),""))</f>
        <v/>
      </c>
      <c r="C11" s="27" t="inlineStr">
        <is>
          <t>ص</t>
        </is>
      </c>
      <c r="D11" s="27" t="inlineStr">
        <is>
          <t>ص</t>
        </is>
      </c>
      <c r="E11" s="27" t="inlineStr">
        <is>
          <t>ر</t>
        </is>
      </c>
      <c r="F11" s="27" t="inlineStr">
        <is>
          <t>ص</t>
        </is>
      </c>
      <c r="G11" s="27" t="inlineStr">
        <is>
          <t>ص</t>
        </is>
      </c>
      <c r="H11" s="27" t="inlineStr">
        <is>
          <t>ص</t>
        </is>
      </c>
      <c r="I11" s="27" t="inlineStr">
        <is>
          <t>ك</t>
        </is>
      </c>
      <c r="J11" s="27" t="inlineStr">
        <is>
          <t>ك</t>
        </is>
      </c>
      <c r="K11" s="27" t="inlineStr">
        <is>
          <t>ك</t>
        </is>
      </c>
      <c r="L11" s="27" t="inlineStr">
        <is>
          <t>ر</t>
        </is>
      </c>
      <c r="M11" s="27" t="inlineStr">
        <is>
          <t>م</t>
        </is>
      </c>
      <c r="N11" s="27" t="inlineStr">
        <is>
          <t>ر</t>
        </is>
      </c>
      <c r="O11" s="27" t="inlineStr">
        <is>
          <t>ص</t>
        </is>
      </c>
      <c r="P11" s="27" t="inlineStr">
        <is>
          <t>ص</t>
        </is>
      </c>
      <c r="Q11" s="27" t="inlineStr">
        <is>
          <t>ص</t>
        </is>
      </c>
      <c r="R11" s="27" t="inlineStr">
        <is>
          <t>ص</t>
        </is>
      </c>
      <c r="S11" s="27" t="inlineStr">
        <is>
          <t>ر</t>
        </is>
      </c>
      <c r="T11" s="27" t="inlineStr">
        <is>
          <t>ص</t>
        </is>
      </c>
      <c r="U11" s="27" t="inlineStr">
        <is>
          <t>ص</t>
        </is>
      </c>
      <c r="V11" s="27" t="inlineStr">
        <is>
          <t>ص</t>
        </is>
      </c>
      <c r="W11" s="27" t="inlineStr">
        <is>
          <t>ص</t>
        </is>
      </c>
      <c r="X11" s="27" t="inlineStr">
        <is>
          <t>ص</t>
        </is>
      </c>
      <c r="Y11" s="27" t="inlineStr">
        <is>
          <t>ص</t>
        </is>
      </c>
      <c r="Z11" s="27" t="inlineStr">
        <is>
          <t>ر</t>
        </is>
      </c>
      <c r="AA11" s="27" t="inlineStr">
        <is>
          <t>ص</t>
        </is>
      </c>
      <c r="AB11" s="27" t="inlineStr">
        <is>
          <t>ص</t>
        </is>
      </c>
      <c r="AC11" s="27" t="inlineStr">
        <is>
          <t>ص</t>
        </is>
      </c>
      <c r="AD11" s="27" t="inlineStr">
        <is>
          <t>ص</t>
        </is>
      </c>
      <c r="AE11" s="27" t="inlineStr">
        <is>
          <t>ص</t>
        </is>
      </c>
      <c r="AF11" s="27" t="inlineStr">
        <is>
          <t>ص</t>
        </is>
      </c>
      <c r="AG11" s="27" t="inlineStr">
        <is>
          <t>ر</t>
        </is>
      </c>
    </row>
    <row r="12">
      <c r="A12" s="4" t="inlineStr">
        <is>
          <t>عمر حسن</t>
        </is>
      </c>
      <c r="B12" s="8">
        <f>IF(A12="","",IFERROR(INDEX(StaffRole,MATCH(A12,Staff,0)),""))</f>
        <v/>
      </c>
      <c r="C12" s="27" t="inlineStr">
        <is>
          <t>م</t>
        </is>
      </c>
      <c r="D12" s="27" t="inlineStr">
        <is>
          <t>م</t>
        </is>
      </c>
      <c r="E12" s="27" t="inlineStr">
        <is>
          <t>ر</t>
        </is>
      </c>
      <c r="F12" s="27" t="inlineStr">
        <is>
          <t>م</t>
        </is>
      </c>
      <c r="G12" s="27" t="inlineStr">
        <is>
          <t>م</t>
        </is>
      </c>
      <c r="H12" s="27" t="inlineStr">
        <is>
          <t>م</t>
        </is>
      </c>
      <c r="I12" s="27" t="inlineStr">
        <is>
          <t>م</t>
        </is>
      </c>
      <c r="J12" s="27" t="inlineStr">
        <is>
          <t>م</t>
        </is>
      </c>
      <c r="K12" s="27" t="inlineStr">
        <is>
          <t>م</t>
        </is>
      </c>
      <c r="L12" s="27" t="inlineStr">
        <is>
          <t>ر</t>
        </is>
      </c>
      <c r="M12" s="27" t="inlineStr">
        <is>
          <t>ص</t>
        </is>
      </c>
      <c r="N12" s="27" t="inlineStr">
        <is>
          <t>ك</t>
        </is>
      </c>
      <c r="O12" s="27" t="inlineStr">
        <is>
          <t>م</t>
        </is>
      </c>
      <c r="P12" s="27" t="inlineStr">
        <is>
          <t>م</t>
        </is>
      </c>
      <c r="Q12" s="27" t="inlineStr">
        <is>
          <t>م</t>
        </is>
      </c>
      <c r="R12" s="27" t="inlineStr">
        <is>
          <t>م</t>
        </is>
      </c>
      <c r="S12" s="27" t="inlineStr">
        <is>
          <t>ر</t>
        </is>
      </c>
      <c r="T12" s="27" t="inlineStr">
        <is>
          <t>م</t>
        </is>
      </c>
      <c r="U12" s="27" t="inlineStr">
        <is>
          <t>م</t>
        </is>
      </c>
      <c r="V12" s="27" t="inlineStr">
        <is>
          <t>م</t>
        </is>
      </c>
      <c r="W12" s="27" t="inlineStr">
        <is>
          <t>م</t>
        </is>
      </c>
      <c r="X12" s="27" t="inlineStr">
        <is>
          <t>م</t>
        </is>
      </c>
      <c r="Y12" s="27" t="inlineStr">
        <is>
          <t>م</t>
        </is>
      </c>
      <c r="Z12" s="27" t="inlineStr">
        <is>
          <t>ر</t>
        </is>
      </c>
      <c r="AA12" s="27" t="inlineStr">
        <is>
          <t>م</t>
        </is>
      </c>
      <c r="AB12" s="27" t="inlineStr">
        <is>
          <t>م</t>
        </is>
      </c>
      <c r="AC12" s="27" t="inlineStr">
        <is>
          <t>م</t>
        </is>
      </c>
      <c r="AD12" s="27" t="inlineStr">
        <is>
          <t>م</t>
        </is>
      </c>
      <c r="AE12" s="27" t="inlineStr">
        <is>
          <t>م</t>
        </is>
      </c>
      <c r="AF12" s="27" t="inlineStr">
        <is>
          <t>م</t>
        </is>
      </c>
      <c r="AG12" s="27" t="inlineStr">
        <is>
          <t>ر</t>
        </is>
      </c>
    </row>
    <row r="13">
      <c r="A13" s="4" t="n"/>
      <c r="B13" s="8">
        <f>IF(A13="","",IFERROR(INDEX(StaffRole,MATCH(A13,Staff,0)),""))</f>
        <v/>
      </c>
      <c r="C13" s="27" t="n"/>
      <c r="D13" s="27" t="n"/>
      <c r="E13" s="27" t="n"/>
      <c r="F13" s="27" t="n"/>
      <c r="G13" s="27" t="n"/>
      <c r="H13" s="27" t="n"/>
      <c r="I13" s="27" t="n"/>
      <c r="J13" s="27" t="n"/>
      <c r="K13" s="27" t="n"/>
      <c r="L13" s="27" t="n"/>
      <c r="M13" s="27" t="n"/>
      <c r="N13" s="27" t="n"/>
      <c r="O13" s="27" t="n"/>
      <c r="P13" s="27" t="n"/>
      <c r="Q13" s="27" t="n"/>
      <c r="R13" s="27" t="n"/>
      <c r="S13" s="27" t="n"/>
      <c r="T13" s="27" t="n"/>
      <c r="U13" s="27" t="n"/>
      <c r="V13" s="27" t="n"/>
      <c r="W13" s="27" t="n"/>
      <c r="X13" s="27" t="n"/>
      <c r="Y13" s="27" t="n"/>
      <c r="Z13" s="27" t="n"/>
      <c r="AA13" s="27" t="n"/>
      <c r="AB13" s="27" t="n"/>
      <c r="AC13" s="27" t="n"/>
      <c r="AD13" s="27" t="n"/>
      <c r="AE13" s="27" t="n"/>
      <c r="AF13" s="27" t="n"/>
      <c r="AG13" s="27" t="n"/>
    </row>
    <row r="14">
      <c r="A14" s="4" t="n"/>
      <c r="B14" s="8">
        <f>IF(A14="","",IFERROR(INDEX(StaffRole,MATCH(A14,Staff,0)),""))</f>
        <v/>
      </c>
      <c r="C14" s="27" t="n"/>
      <c r="D14" s="27" t="n"/>
      <c r="E14" s="27" t="n"/>
      <c r="F14" s="27" t="n"/>
      <c r="G14" s="27" t="n"/>
      <c r="H14" s="27" t="n"/>
      <c r="I14" s="27" t="n"/>
      <c r="J14" s="27" t="n"/>
      <c r="K14" s="27" t="n"/>
      <c r="L14" s="27" t="n"/>
      <c r="M14" s="27" t="n"/>
      <c r="N14" s="27" t="n"/>
      <c r="O14" s="27" t="n"/>
      <c r="P14" s="27" t="n"/>
      <c r="Q14" s="27" t="n"/>
      <c r="R14" s="27" t="n"/>
      <c r="S14" s="27" t="n"/>
      <c r="T14" s="27" t="n"/>
      <c r="U14" s="27" t="n"/>
      <c r="V14" s="27" t="n"/>
      <c r="W14" s="27" t="n"/>
      <c r="X14" s="27" t="n"/>
      <c r="Y14" s="27" t="n"/>
      <c r="Z14" s="27" t="n"/>
      <c r="AA14" s="27" t="n"/>
      <c r="AB14" s="27" t="n"/>
      <c r="AC14" s="27" t="n"/>
      <c r="AD14" s="27" t="n"/>
      <c r="AE14" s="27" t="n"/>
      <c r="AF14" s="27" t="n"/>
      <c r="AG14" s="27" t="n"/>
    </row>
    <row r="15">
      <c r="A15" s="4" t="n"/>
      <c r="B15" s="8">
        <f>IF(A15="","",IFERROR(INDEX(StaffRole,MATCH(A15,Staff,0)),""))</f>
        <v/>
      </c>
      <c r="C15" s="27" t="n"/>
      <c r="D15" s="27" t="n"/>
      <c r="E15" s="27" t="n"/>
      <c r="F15" s="27" t="n"/>
      <c r="G15" s="27" t="n"/>
      <c r="H15" s="27" t="n"/>
      <c r="I15" s="27" t="n"/>
      <c r="J15" s="27" t="n"/>
      <c r="K15" s="27" t="n"/>
      <c r="L15" s="27" t="n"/>
      <c r="M15" s="27" t="n"/>
      <c r="N15" s="27" t="n"/>
      <c r="O15" s="27" t="n"/>
      <c r="P15" s="27" t="n"/>
      <c r="Q15" s="27" t="n"/>
      <c r="R15" s="27" t="n"/>
      <c r="S15" s="27" t="n"/>
      <c r="T15" s="27" t="n"/>
      <c r="U15" s="27" t="n"/>
      <c r="V15" s="27" t="n"/>
      <c r="W15" s="27" t="n"/>
      <c r="X15" s="27" t="n"/>
      <c r="Y15" s="27" t="n"/>
      <c r="Z15" s="27" t="n"/>
      <c r="AA15" s="27" t="n"/>
      <c r="AB15" s="27" t="n"/>
      <c r="AC15" s="27" t="n"/>
      <c r="AD15" s="27" t="n"/>
      <c r="AE15" s="27" t="n"/>
      <c r="AF15" s="27" t="n"/>
      <c r="AG15" s="27" t="n"/>
    </row>
    <row r="17">
      <c r="A17" s="26" t="inlineStr">
        <is>
          <t>فرع الشمال</t>
        </is>
      </c>
      <c r="B17" s="3" t="inlineStr">
        <is>
          <t>الوظيفة</t>
        </is>
      </c>
    </row>
    <row r="18">
      <c r="A18" s="4" t="inlineStr">
        <is>
          <t>ياسمين علي</t>
        </is>
      </c>
      <c r="B18" s="8">
        <f>IF(A18="","",IFERROR(INDEX(StaffRole,MATCH(A18,Staff,0)),""))</f>
        <v/>
      </c>
      <c r="C18" s="27" t="inlineStr">
        <is>
          <t>ص</t>
        </is>
      </c>
      <c r="D18" s="27" t="inlineStr">
        <is>
          <t>ص</t>
        </is>
      </c>
      <c r="E18" s="27" t="inlineStr">
        <is>
          <t>ر</t>
        </is>
      </c>
      <c r="F18" s="27" t="inlineStr">
        <is>
          <t>ص</t>
        </is>
      </c>
      <c r="G18" s="27" t="inlineStr">
        <is>
          <t>ص</t>
        </is>
      </c>
      <c r="H18" s="27" t="inlineStr">
        <is>
          <t>ص</t>
        </is>
      </c>
      <c r="I18" s="27" t="inlineStr">
        <is>
          <t>ص</t>
        </is>
      </c>
      <c r="J18" s="27" t="inlineStr">
        <is>
          <t>ص</t>
        </is>
      </c>
      <c r="K18" s="27" t="inlineStr">
        <is>
          <t>ص</t>
        </is>
      </c>
      <c r="L18" s="27" t="inlineStr">
        <is>
          <t>ر</t>
        </is>
      </c>
      <c r="M18" s="27" t="inlineStr">
        <is>
          <t>ص</t>
        </is>
      </c>
      <c r="N18" s="27" t="inlineStr">
        <is>
          <t>ص</t>
        </is>
      </c>
      <c r="O18" s="27" t="inlineStr">
        <is>
          <t>ص</t>
        </is>
      </c>
      <c r="P18" s="27" t="inlineStr">
        <is>
          <t>ص</t>
        </is>
      </c>
      <c r="Q18" s="27" t="inlineStr">
        <is>
          <t>ص</t>
        </is>
      </c>
      <c r="R18" s="27" t="inlineStr">
        <is>
          <t>ص</t>
        </is>
      </c>
      <c r="S18" s="27" t="inlineStr">
        <is>
          <t>ر</t>
        </is>
      </c>
      <c r="T18" s="27" t="inlineStr">
        <is>
          <t>ص</t>
        </is>
      </c>
      <c r="U18" s="27" t="inlineStr">
        <is>
          <t>ص</t>
        </is>
      </c>
      <c r="V18" s="27" t="inlineStr">
        <is>
          <t>ص</t>
        </is>
      </c>
      <c r="W18" s="27" t="inlineStr">
        <is>
          <t>ص</t>
        </is>
      </c>
      <c r="X18" s="27" t="inlineStr">
        <is>
          <t>ص</t>
        </is>
      </c>
      <c r="Y18" s="27" t="inlineStr">
        <is>
          <t>ص</t>
        </is>
      </c>
      <c r="Z18" s="27" t="inlineStr">
        <is>
          <t>ر</t>
        </is>
      </c>
      <c r="AA18" s="27" t="inlineStr">
        <is>
          <t>ص</t>
        </is>
      </c>
      <c r="AB18" s="27" t="inlineStr">
        <is>
          <t>ص</t>
        </is>
      </c>
      <c r="AC18" s="27" t="inlineStr">
        <is>
          <t>ص</t>
        </is>
      </c>
      <c r="AD18" s="27" t="inlineStr">
        <is>
          <t>ص</t>
        </is>
      </c>
      <c r="AE18" s="27" t="inlineStr">
        <is>
          <t>ص</t>
        </is>
      </c>
      <c r="AF18" s="27" t="inlineStr">
        <is>
          <t>ص</t>
        </is>
      </c>
      <c r="AG18" s="27" t="inlineStr">
        <is>
          <t>ر</t>
        </is>
      </c>
    </row>
    <row r="19">
      <c r="A19" s="4" t="inlineStr">
        <is>
          <t>فاطمة سعد</t>
        </is>
      </c>
      <c r="B19" s="8">
        <f>IF(A19="","",IFERROR(INDEX(StaffRole,MATCH(A19,Staff,0)),""))</f>
        <v/>
      </c>
      <c r="C19" s="27" t="inlineStr">
        <is>
          <t>ص</t>
        </is>
      </c>
      <c r="D19" s="27" t="inlineStr">
        <is>
          <t>ص</t>
        </is>
      </c>
      <c r="E19" s="27" t="inlineStr">
        <is>
          <t>ر</t>
        </is>
      </c>
      <c r="F19" s="27" t="inlineStr">
        <is>
          <t>ص</t>
        </is>
      </c>
      <c r="G19" s="27" t="inlineStr">
        <is>
          <t>ص</t>
        </is>
      </c>
      <c r="H19" s="27" t="inlineStr">
        <is>
          <t>ص</t>
        </is>
      </c>
      <c r="I19" s="27" t="inlineStr">
        <is>
          <t>ص</t>
        </is>
      </c>
      <c r="J19" s="27" t="inlineStr">
        <is>
          <t>ص</t>
        </is>
      </c>
      <c r="K19" s="27" t="inlineStr">
        <is>
          <t>ص</t>
        </is>
      </c>
      <c r="L19" s="27" t="inlineStr">
        <is>
          <t>ر</t>
        </is>
      </c>
      <c r="M19" s="27" t="inlineStr">
        <is>
          <t>ص</t>
        </is>
      </c>
      <c r="N19" s="27" t="inlineStr">
        <is>
          <t>ص</t>
        </is>
      </c>
      <c r="O19" s="27" t="inlineStr">
        <is>
          <t>ص</t>
        </is>
      </c>
      <c r="P19" s="27" t="inlineStr">
        <is>
          <t>ص</t>
        </is>
      </c>
      <c r="Q19" s="27" t="inlineStr">
        <is>
          <t>ص</t>
        </is>
      </c>
      <c r="R19" s="27" t="inlineStr">
        <is>
          <t>ص</t>
        </is>
      </c>
      <c r="S19" s="27" t="inlineStr">
        <is>
          <t>ر</t>
        </is>
      </c>
      <c r="T19" s="27" t="inlineStr">
        <is>
          <t>ص</t>
        </is>
      </c>
      <c r="U19" s="27" t="inlineStr">
        <is>
          <t>ص</t>
        </is>
      </c>
      <c r="V19" s="27" t="inlineStr">
        <is>
          <t>ص</t>
        </is>
      </c>
      <c r="W19" s="27" t="inlineStr">
        <is>
          <t>ص</t>
        </is>
      </c>
      <c r="X19" s="27" t="inlineStr">
        <is>
          <t>ص</t>
        </is>
      </c>
      <c r="Y19" s="27" t="inlineStr">
        <is>
          <t>ص</t>
        </is>
      </c>
      <c r="Z19" s="27" t="inlineStr">
        <is>
          <t>ر</t>
        </is>
      </c>
      <c r="AA19" s="27" t="inlineStr">
        <is>
          <t>ص</t>
        </is>
      </c>
      <c r="AB19" s="27" t="inlineStr">
        <is>
          <t>ص</t>
        </is>
      </c>
      <c r="AC19" s="27" t="inlineStr">
        <is>
          <t>ص</t>
        </is>
      </c>
      <c r="AD19" s="27" t="inlineStr">
        <is>
          <t>ص</t>
        </is>
      </c>
      <c r="AE19" s="27" t="inlineStr">
        <is>
          <t>ص</t>
        </is>
      </c>
      <c r="AF19" s="27" t="inlineStr">
        <is>
          <t>ص</t>
        </is>
      </c>
      <c r="AG19" s="27" t="inlineStr">
        <is>
          <t>ر</t>
        </is>
      </c>
    </row>
    <row r="20">
      <c r="A20" s="4" t="inlineStr">
        <is>
          <t>يوسف كمال</t>
        </is>
      </c>
      <c r="B20" s="8">
        <f>IF(A20="","",IFERROR(INDEX(StaffRole,MATCH(A20,Staff,0)),""))</f>
        <v/>
      </c>
      <c r="C20" s="27" t="inlineStr">
        <is>
          <t>م</t>
        </is>
      </c>
      <c r="D20" s="27" t="inlineStr">
        <is>
          <t>م</t>
        </is>
      </c>
      <c r="E20" s="27" t="inlineStr">
        <is>
          <t>ر</t>
        </is>
      </c>
      <c r="F20" s="27" t="inlineStr">
        <is>
          <t>م</t>
        </is>
      </c>
      <c r="G20" s="27" t="inlineStr">
        <is>
          <t>م</t>
        </is>
      </c>
      <c r="H20" s="27" t="inlineStr">
        <is>
          <t>م</t>
        </is>
      </c>
      <c r="I20" s="27" t="inlineStr">
        <is>
          <t>م</t>
        </is>
      </c>
      <c r="J20" s="27" t="inlineStr">
        <is>
          <t>م</t>
        </is>
      </c>
      <c r="K20" s="27" t="inlineStr">
        <is>
          <t>م</t>
        </is>
      </c>
      <c r="L20" s="27" t="inlineStr">
        <is>
          <t>ر</t>
        </is>
      </c>
      <c r="M20" s="27" t="inlineStr">
        <is>
          <t>م</t>
        </is>
      </c>
      <c r="N20" s="27" t="inlineStr">
        <is>
          <t>م</t>
        </is>
      </c>
      <c r="O20" s="27" t="inlineStr">
        <is>
          <t>م</t>
        </is>
      </c>
      <c r="P20" s="27" t="inlineStr">
        <is>
          <t>م</t>
        </is>
      </c>
      <c r="Q20" s="27" t="inlineStr">
        <is>
          <t>م</t>
        </is>
      </c>
      <c r="R20" s="27" t="inlineStr">
        <is>
          <t>م</t>
        </is>
      </c>
      <c r="S20" s="27" t="inlineStr">
        <is>
          <t>ر</t>
        </is>
      </c>
      <c r="T20" s="27" t="inlineStr">
        <is>
          <t>م</t>
        </is>
      </c>
      <c r="U20" s="27" t="inlineStr">
        <is>
          <t>م</t>
        </is>
      </c>
      <c r="V20" s="27" t="inlineStr">
        <is>
          <t>م</t>
        </is>
      </c>
      <c r="W20" s="27" t="inlineStr">
        <is>
          <t>م</t>
        </is>
      </c>
      <c r="X20" s="27" t="inlineStr">
        <is>
          <t>م</t>
        </is>
      </c>
      <c r="Y20" s="27" t="inlineStr">
        <is>
          <t>م</t>
        </is>
      </c>
      <c r="Z20" s="27" t="inlineStr">
        <is>
          <t>ر</t>
        </is>
      </c>
      <c r="AA20" s="27" t="inlineStr">
        <is>
          <t>م</t>
        </is>
      </c>
      <c r="AB20" s="27" t="inlineStr">
        <is>
          <t>م</t>
        </is>
      </c>
      <c r="AC20" s="27" t="inlineStr">
        <is>
          <t>م</t>
        </is>
      </c>
      <c r="AD20" s="27" t="inlineStr">
        <is>
          <t>م</t>
        </is>
      </c>
      <c r="AE20" s="27" t="inlineStr">
        <is>
          <t>م</t>
        </is>
      </c>
      <c r="AF20" s="27" t="inlineStr">
        <is>
          <t>م</t>
        </is>
      </c>
      <c r="AG20" s="27" t="inlineStr">
        <is>
          <t>ر</t>
        </is>
      </c>
    </row>
    <row r="21">
      <c r="A21" s="4" t="inlineStr">
        <is>
          <t>دينا محمود</t>
        </is>
      </c>
      <c r="B21" s="8">
        <f>IF(A21="","",IFERROR(INDEX(StaffRole,MATCH(A21,Staff,0)),""))</f>
        <v/>
      </c>
      <c r="C21" s="27" t="inlineStr">
        <is>
          <t>م</t>
        </is>
      </c>
      <c r="D21" s="27" t="inlineStr">
        <is>
          <t>م</t>
        </is>
      </c>
      <c r="E21" s="27" t="inlineStr">
        <is>
          <t>ر</t>
        </is>
      </c>
      <c r="F21" s="27" t="inlineStr">
        <is>
          <t>م</t>
        </is>
      </c>
      <c r="G21" s="27" t="inlineStr">
        <is>
          <t>م</t>
        </is>
      </c>
      <c r="H21" s="27" t="inlineStr">
        <is>
          <t>م</t>
        </is>
      </c>
      <c r="I21" s="27" t="inlineStr">
        <is>
          <t>م</t>
        </is>
      </c>
      <c r="J21" s="27" t="inlineStr">
        <is>
          <t>م</t>
        </is>
      </c>
      <c r="K21" s="27" t="inlineStr">
        <is>
          <t>م</t>
        </is>
      </c>
      <c r="L21" s="27" t="inlineStr">
        <is>
          <t>ر</t>
        </is>
      </c>
      <c r="M21" s="27" t="inlineStr">
        <is>
          <t>م</t>
        </is>
      </c>
      <c r="N21" s="27" t="inlineStr">
        <is>
          <t>م</t>
        </is>
      </c>
      <c r="O21" s="27" t="inlineStr">
        <is>
          <t>م</t>
        </is>
      </c>
      <c r="P21" s="27" t="inlineStr">
        <is>
          <t>م</t>
        </is>
      </c>
      <c r="Q21" s="27" t="inlineStr">
        <is>
          <t>م</t>
        </is>
      </c>
      <c r="R21" s="27" t="inlineStr">
        <is>
          <t>م</t>
        </is>
      </c>
      <c r="S21" s="27" t="inlineStr">
        <is>
          <t>ر</t>
        </is>
      </c>
      <c r="T21" s="27" t="inlineStr">
        <is>
          <t>م</t>
        </is>
      </c>
      <c r="U21" s="27" t="inlineStr">
        <is>
          <t>م</t>
        </is>
      </c>
      <c r="V21" s="27" t="inlineStr">
        <is>
          <t>م</t>
        </is>
      </c>
      <c r="W21" s="27" t="inlineStr">
        <is>
          <t>م</t>
        </is>
      </c>
      <c r="X21" s="27" t="inlineStr">
        <is>
          <t>م</t>
        </is>
      </c>
      <c r="Y21" s="27" t="inlineStr">
        <is>
          <t>م</t>
        </is>
      </c>
      <c r="Z21" s="27" t="inlineStr">
        <is>
          <t>ر</t>
        </is>
      </c>
      <c r="AA21" s="27" t="inlineStr">
        <is>
          <t>م</t>
        </is>
      </c>
      <c r="AB21" s="27" t="inlineStr">
        <is>
          <t>م</t>
        </is>
      </c>
      <c r="AC21" s="27" t="inlineStr">
        <is>
          <t>م</t>
        </is>
      </c>
      <c r="AD21" s="27" t="inlineStr">
        <is>
          <t>م</t>
        </is>
      </c>
      <c r="AE21" s="27" t="inlineStr">
        <is>
          <t>م</t>
        </is>
      </c>
      <c r="AF21" s="27" t="inlineStr">
        <is>
          <t>م</t>
        </is>
      </c>
      <c r="AG21" s="27" t="inlineStr">
        <is>
          <t>ر</t>
        </is>
      </c>
    </row>
    <row r="22">
      <c r="A22" s="4" t="n"/>
      <c r="B22" s="8">
        <f>IF(A22="","",IFERROR(INDEX(StaffRole,MATCH(A22,Staff,0)),""))</f>
        <v/>
      </c>
      <c r="C22" s="27" t="n"/>
      <c r="D22" s="27" t="n"/>
      <c r="E22" s="27" t="n"/>
      <c r="F22" s="27" t="n"/>
      <c r="G22" s="27" t="n"/>
      <c r="H22" s="27" t="n"/>
      <c r="I22" s="27" t="n"/>
      <c r="J22" s="27" t="n"/>
      <c r="K22" s="27" t="n"/>
      <c r="L22" s="27" t="n"/>
      <c r="M22" s="27" t="n"/>
      <c r="N22" s="27" t="n"/>
      <c r="O22" s="27" t="n"/>
      <c r="P22" s="27" t="n"/>
      <c r="Q22" s="27" t="n"/>
      <c r="R22" s="27" t="n"/>
      <c r="S22" s="27" t="n"/>
      <c r="T22" s="27" t="n"/>
      <c r="U22" s="27" t="n"/>
      <c r="V22" s="27" t="n"/>
      <c r="W22" s="27" t="n"/>
      <c r="X22" s="27" t="n"/>
      <c r="Y22" s="27" t="n"/>
      <c r="Z22" s="27" t="n"/>
      <c r="AA22" s="27" t="n"/>
      <c r="AB22" s="27" t="n"/>
      <c r="AC22" s="27" t="n"/>
      <c r="AD22" s="27" t="n"/>
      <c r="AE22" s="27" t="n"/>
      <c r="AF22" s="27" t="n"/>
      <c r="AG22" s="27" t="n"/>
    </row>
    <row r="23">
      <c r="A23" s="4" t="n"/>
      <c r="B23" s="8">
        <f>IF(A23="","",IFERROR(INDEX(StaffRole,MATCH(A23,Staff,0)),""))</f>
        <v/>
      </c>
      <c r="C23" s="27" t="n"/>
      <c r="D23" s="27" t="n"/>
      <c r="E23" s="27" t="n"/>
      <c r="F23" s="27" t="n"/>
      <c r="G23" s="27" t="n"/>
      <c r="H23" s="27" t="n"/>
      <c r="I23" s="27" t="n"/>
      <c r="J23" s="27" t="n"/>
      <c r="K23" s="27" t="n"/>
      <c r="L23" s="27" t="n"/>
      <c r="M23" s="27" t="n"/>
      <c r="N23" s="27" t="n"/>
      <c r="O23" s="27" t="n"/>
      <c r="P23" s="27" t="n"/>
      <c r="Q23" s="27" t="n"/>
      <c r="R23" s="27" t="n"/>
      <c r="S23" s="27" t="n"/>
      <c r="T23" s="27" t="n"/>
      <c r="U23" s="27" t="n"/>
      <c r="V23" s="27" t="n"/>
      <c r="W23" s="27" t="n"/>
      <c r="X23" s="27" t="n"/>
      <c r="Y23" s="27" t="n"/>
      <c r="Z23" s="27" t="n"/>
      <c r="AA23" s="27" t="n"/>
      <c r="AB23" s="27" t="n"/>
      <c r="AC23" s="27" t="n"/>
      <c r="AD23" s="27" t="n"/>
      <c r="AE23" s="27" t="n"/>
      <c r="AF23" s="27" t="n"/>
      <c r="AG23" s="27" t="n"/>
    </row>
    <row r="24">
      <c r="A24" s="4" t="n"/>
      <c r="B24" s="8">
        <f>IF(A24="","",IFERROR(INDEX(StaffRole,MATCH(A24,Staff,0)),""))</f>
        <v/>
      </c>
      <c r="C24" s="27" t="n"/>
      <c r="D24" s="27" t="n"/>
      <c r="E24" s="27" t="n"/>
      <c r="F24" s="27" t="n"/>
      <c r="G24" s="27" t="n"/>
      <c r="H24" s="27" t="n"/>
      <c r="I24" s="27" t="n"/>
      <c r="J24" s="27" t="n"/>
      <c r="K24" s="27" t="n"/>
      <c r="L24" s="27" t="n"/>
      <c r="M24" s="27" t="n"/>
      <c r="N24" s="27" t="n"/>
      <c r="O24" s="27" t="n"/>
      <c r="P24" s="27" t="n"/>
      <c r="Q24" s="27" t="n"/>
      <c r="R24" s="27" t="n"/>
      <c r="S24" s="27" t="n"/>
      <c r="T24" s="27" t="n"/>
      <c r="U24" s="27" t="n"/>
      <c r="V24" s="27" t="n"/>
      <c r="W24" s="27" t="n"/>
      <c r="X24" s="27" t="n"/>
      <c r="Y24" s="27" t="n"/>
      <c r="Z24" s="27" t="n"/>
      <c r="AA24" s="27" t="n"/>
      <c r="AB24" s="27" t="n"/>
      <c r="AC24" s="27" t="n"/>
      <c r="AD24" s="27" t="n"/>
      <c r="AE24" s="27" t="n"/>
      <c r="AF24" s="27" t="n"/>
      <c r="AG24" s="27" t="n"/>
    </row>
    <row r="25">
      <c r="A25" s="4" t="n"/>
      <c r="B25" s="8">
        <f>IF(A25="","",IFERROR(INDEX(StaffRole,MATCH(A25,Staff,0)),""))</f>
        <v/>
      </c>
      <c r="C25" s="27" t="n"/>
      <c r="D25" s="27" t="n"/>
      <c r="E25" s="27" t="n"/>
      <c r="F25" s="27" t="n"/>
      <c r="G25" s="27" t="n"/>
      <c r="H25" s="27" t="n"/>
      <c r="I25" s="27" t="n"/>
      <c r="J25" s="27" t="n"/>
      <c r="K25" s="27" t="n"/>
      <c r="L25" s="27" t="n"/>
      <c r="M25" s="27" t="n"/>
      <c r="N25" s="27" t="n"/>
      <c r="O25" s="27" t="n"/>
      <c r="P25" s="27" t="n"/>
      <c r="Q25" s="27" t="n"/>
      <c r="R25" s="27" t="n"/>
      <c r="S25" s="27" t="n"/>
      <c r="T25" s="27" t="n"/>
      <c r="U25" s="27" t="n"/>
      <c r="V25" s="27" t="n"/>
      <c r="W25" s="27" t="n"/>
      <c r="X25" s="27" t="n"/>
      <c r="Y25" s="27" t="n"/>
      <c r="Z25" s="27" t="n"/>
      <c r="AA25" s="27" t="n"/>
      <c r="AB25" s="27" t="n"/>
      <c r="AC25" s="27" t="n"/>
      <c r="AD25" s="27" t="n"/>
      <c r="AE25" s="27" t="n"/>
      <c r="AF25" s="27" t="n"/>
      <c r="AG25" s="27" t="n"/>
    </row>
    <row r="27">
      <c r="A27" s="2" t="inlineStr">
        <is>
          <t>اكتب رمز الوردية لكل يوم. الإجازات المعتمدة في ورقة «الإجازات» تظهر وحدها في ورقة «الشهر» فوق ما كتبته هنا.</t>
        </is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1" formatRows="0" sort="0"/>
  <mergeCells count="3">
    <mergeCell ref="A1:T1"/>
    <mergeCell ref="C2:F2"/>
    <mergeCell ref="A2:B2"/>
  </mergeCells>
  <conditionalFormatting sqref="C8:AG15">
    <cfRule type="expression" priority="1" dxfId="0">
      <formula>AND(C8&lt;&gt;"",C8=$AJ$2)</formula>
    </cfRule>
    <cfRule type="expression" priority="2" dxfId="1">
      <formula>AND(C8&lt;&gt;"",C8=$AK$2)</formula>
    </cfRule>
    <cfRule type="expression" priority="3" dxfId="2">
      <formula>AND(C8&lt;&gt;"",C8=$AL$2)</formula>
    </cfRule>
    <cfRule type="expression" priority="4" dxfId="3">
      <formula>AND(C8&lt;&gt;"",C8=$AM$2)</formula>
    </cfRule>
    <cfRule type="expression" priority="5" dxfId="4">
      <formula>AND(C8&lt;&gt;"",C8=$AN$2)</formula>
    </cfRule>
    <cfRule type="expression" priority="6" dxfId="5">
      <formula>C$5=0</formula>
    </cfRule>
  </conditionalFormatting>
  <conditionalFormatting sqref="C18:AG25">
    <cfRule type="expression" priority="7" dxfId="0">
      <formula>AND(C18&lt;&gt;"",C18=$AJ$2)</formula>
    </cfRule>
    <cfRule type="expression" priority="8" dxfId="1">
      <formula>AND(C18&lt;&gt;"",C18=$AK$2)</formula>
    </cfRule>
    <cfRule type="expression" priority="9" dxfId="2">
      <formula>AND(C18&lt;&gt;"",C18=$AL$2)</formula>
    </cfRule>
    <cfRule type="expression" priority="10" dxfId="3">
      <formula>AND(C18&lt;&gt;"",C18=$AM$2)</formula>
    </cfRule>
    <cfRule type="expression" priority="11" dxfId="4">
      <formula>AND(C18&lt;&gt;"",C18=$AN$2)</formula>
    </cfRule>
    <cfRule type="expression" priority="12" dxfId="5">
      <formula>C$5=0</formula>
    </cfRule>
  </conditionalFormatting>
  <conditionalFormatting sqref="C3:AG5">
    <cfRule type="expression" priority="13" dxfId="5">
      <formula>C$5=0</formula>
    </cfRule>
  </conditionalFormatting>
  <dataValidations count="6">
    <dataValidation sqref="A7" showDropDown="0" showInputMessage="0" showErrorMessage="0" allowBlank="1" errorTitle="قيمة غير صحيحة" error="اختر من القائمة." type="list">
      <formula1>=Branches</formula1>
    </dataValidation>
    <dataValidation sqref="A8:A15" showDropDown="0" showInputMessage="0" showErrorMessage="0" allowBlank="1" errorTitle="قيمة غير صحيحة" error="اختر من القائمة." type="list">
      <formula1>=Staff</formula1>
    </dataValidation>
    <dataValidation sqref="C8:AG15" showDropDown="0" showInputMessage="0" showErrorMessage="0" allowBlank="1" errorTitle="قيمة غير صحيحة" error="اختر من القائمة." type="list">
      <formula1>=ShiftCodes</formula1>
    </dataValidation>
    <dataValidation sqref="A17" showDropDown="0" showInputMessage="0" showErrorMessage="0" allowBlank="1" errorTitle="قيمة غير صحيحة" error="اختر من القائمة." type="list">
      <formula1>=Branches</formula1>
    </dataValidation>
    <dataValidation sqref="A18:A25" showDropDown="0" showInputMessage="0" showErrorMessage="0" allowBlank="1" errorTitle="قيمة غير صحيحة" error="اختر من القائمة." type="list">
      <formula1>=Staff</formula1>
    </dataValidation>
    <dataValidation sqref="C18:AG25" showDropDown="0" showInputMessage="0" showErrorMessage="0" allowBlank="1" errorTitle="قيمة غير صحيحة" error="اختر من القائمة." type="list">
      <formula1>=ShiftCodes</formula1>
    </dataValidation>
  </dataValidations>
  <pageMargins left="0.75" right="0.75" top="1" bottom="1" header="0.5" footer="0.5"/>
  <pageSetup paperSize="9" fitToHeight="0" fitToWidth="1"/>
</worksheet>
</file>

<file path=xl/worksheets/sheet4.xml><?xml version="1.0" encoding="utf-8"?>
<worksheet xmlns="http://schemas.openxmlformats.org/spreadsheetml/2006/main">
  <sheetPr>
    <tabColor rgb="00C9A227"/>
    <outlinePr summaryBelow="1" summaryRight="1"/>
    <pageSetUpPr fitToPage="1"/>
  </sheetPr>
  <dimension ref="A1:I302"/>
  <sheetViews>
    <sheetView showGridLines="0" rightToLeft="1" tabSelected="0" zoomScale="110"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0" customWidth="1" min="1" max="1"/>
    <col width="15" customWidth="1" min="2" max="2"/>
    <col width="13" customWidth="1" min="3" max="3"/>
    <col width="12" customWidth="1" min="4" max="4"/>
    <col width="12" customWidth="1" min="5" max="5"/>
    <col width="11" customWidth="1" min="6" max="6"/>
    <col width="20" customWidth="1" min="7" max="7"/>
    <col width="14" customWidth="1" min="8" max="8"/>
    <col width="18" customWidth="1" min="9" max="9"/>
  </cols>
  <sheetData>
    <row r="1" ht="22" customHeight="1">
      <c r="A1" s="16" t="inlineStr">
        <is>
          <t>بيانات تجريبية، احذفها وابدأ. طريقة المسح في ورقة «كيف تستخدمه».</t>
        </is>
      </c>
    </row>
    <row r="2" ht="30" customHeight="1">
      <c r="A2" s="7" t="inlineStr">
        <is>
          <t>الموظف</t>
        </is>
      </c>
      <c r="B2" s="7" t="inlineStr">
        <is>
          <t>الفرع</t>
        </is>
      </c>
      <c r="C2" s="7" t="inlineStr">
        <is>
          <t>النوع</t>
        </is>
      </c>
      <c r="D2" s="7" t="inlineStr">
        <is>
          <t>من</t>
        </is>
      </c>
      <c r="E2" s="7" t="inlineStr">
        <is>
          <t>إلى</t>
        </is>
      </c>
      <c r="F2" s="7" t="inlineStr">
        <is>
          <t>أيام العمل</t>
        </is>
      </c>
      <c r="G2" s="7" t="inlineStr">
        <is>
          <t>اعتمدها</t>
        </is>
      </c>
      <c r="H2" s="7" t="inlineStr">
        <is>
          <t>الحالة</t>
        </is>
      </c>
      <c r="I2" s="7" t="inlineStr">
        <is>
          <t>تداخل</t>
        </is>
      </c>
    </row>
    <row r="3">
      <c r="A3" s="4" t="inlineStr">
        <is>
          <t>عمر حسن</t>
        </is>
      </c>
      <c r="B3" s="8">
        <f>IF($A3="","",IFERROR(INDEX(StaffBranch,MATCH($A3,Staff,0)),""))</f>
        <v/>
      </c>
      <c r="C3" s="4" t="inlineStr">
        <is>
          <t>مرضية</t>
        </is>
      </c>
      <c r="D3" s="12" t="n">
        <v>46210</v>
      </c>
      <c r="E3" s="12" t="n">
        <v>46212</v>
      </c>
      <c r="F3" s="28">
        <f>IF(OR($D3="",$E3=""),"",_xlfn.NETWORKDAYS.INTL($D3,$E3,Weekend))</f>
        <v/>
      </c>
      <c r="G3" s="4" t="inlineStr">
        <is>
          <t>د. سارة الحربي</t>
        </is>
      </c>
      <c r="H3" s="4" t="inlineStr">
        <is>
          <t>معتمدة</t>
        </is>
      </c>
      <c r="I3" s="8">
        <f>IF(OR($A3="",$H3='الإعدادات'!$Q$10),"",IF(COUNTIFS($B$3:$B$302,$B3,$D$3:$D$302,"&lt;="&amp;$E3,$E$3:$E$302,"&gt;="&amp;$D3,$H$3:$H$302,"&lt;&gt;"&amp;'الإعدادات'!$Q$10)&gt;1,"يتداخل مع زميل في الفرع",""))</f>
        <v/>
      </c>
    </row>
    <row r="4">
      <c r="A4" s="4" t="inlineStr">
        <is>
          <t>هالة سمير</t>
        </is>
      </c>
      <c r="B4" s="8">
        <f>IF($A4="","",IFERROR(INDEX(StaffBranch,MATCH($A4,Staff,0)),""))</f>
        <v/>
      </c>
      <c r="C4" s="4" t="inlineStr">
        <is>
          <t>سنوية</t>
        </is>
      </c>
      <c r="D4" s="12" t="n">
        <v>46217</v>
      </c>
      <c r="E4" s="12" t="n">
        <v>46217</v>
      </c>
      <c r="F4" s="28">
        <f>IF(OR($D4="",$E4=""),"",_xlfn.NETWORKDAYS.INTL($D4,$E4,Weekend))</f>
        <v/>
      </c>
      <c r="G4" s="4" t="inlineStr">
        <is>
          <t>د. سارة الحربي</t>
        </is>
      </c>
      <c r="H4" s="4" t="inlineStr">
        <is>
          <t>معتمدة</t>
        </is>
      </c>
      <c r="I4" s="8">
        <f>IF(OR($A4="",$H4='الإعدادات'!$Q$10),"",IF(COUNTIFS($B$3:$B$302,$B4,$D$3:$D$302,"&lt;="&amp;$E4,$E$3:$E$302,"&gt;="&amp;$D4,$H$3:$H$302,"&lt;&gt;"&amp;'الإعدادات'!$Q$10)&gt;1,"يتداخل مع زميل في الفرع",""))</f>
        <v/>
      </c>
    </row>
    <row r="5">
      <c r="A5" s="4" t="inlineStr">
        <is>
          <t>منى فهد</t>
        </is>
      </c>
      <c r="B5" s="8">
        <f>IF($A5="","",IFERROR(INDEX(StaffBranch,MATCH($A5,Staff,0)),""))</f>
        <v/>
      </c>
      <c r="C5" s="4" t="inlineStr">
        <is>
          <t>سنوية</t>
        </is>
      </c>
      <c r="D5" s="12" t="n">
        <v>46217</v>
      </c>
      <c r="E5" s="12" t="n">
        <v>46219</v>
      </c>
      <c r="F5" s="28">
        <f>IF(OR($D5="",$E5=""),"",_xlfn.NETWORKDAYS.INTL($D5,$E5,Weekend))</f>
        <v/>
      </c>
      <c r="G5" s="4" t="n"/>
      <c r="H5" s="4" t="inlineStr">
        <is>
          <t>قيد الانتظار</t>
        </is>
      </c>
      <c r="I5" s="8">
        <f>IF(OR($A5="",$H5='الإعدادات'!$Q$10),"",IF(COUNTIFS($B$3:$B$302,$B5,$D$3:$D$302,"&lt;="&amp;$E5,$E$3:$E$302,"&gt;="&amp;$D5,$H$3:$H$302,"&lt;&gt;"&amp;'الإعدادات'!$Q$10)&gt;1,"يتداخل مع زميل في الفرع",""))</f>
        <v/>
      </c>
    </row>
    <row r="6">
      <c r="A6" s="4" t="inlineStr">
        <is>
          <t>فاطمة سعد</t>
        </is>
      </c>
      <c r="B6" s="8">
        <f>IF($A6="","",IFERROR(INDEX(StaffBranch,MATCH($A6,Staff,0)),""))</f>
        <v/>
      </c>
      <c r="C6" s="4" t="inlineStr">
        <is>
          <t>مرضية</t>
        </is>
      </c>
      <c r="D6" s="12" t="n">
        <v>46190</v>
      </c>
      <c r="E6" s="12" t="n">
        <v>46191</v>
      </c>
      <c r="F6" s="28">
        <f>IF(OR($D6="",$E6=""),"",_xlfn.NETWORKDAYS.INTL($D6,$E6,Weekend))</f>
        <v/>
      </c>
      <c r="G6" s="4" t="inlineStr">
        <is>
          <t>د. سارة الحربي</t>
        </is>
      </c>
      <c r="H6" s="4" t="inlineStr">
        <is>
          <t>معتمدة</t>
        </is>
      </c>
      <c r="I6" s="8">
        <f>IF(OR($A6="",$H6='الإعدادات'!$Q$10),"",IF(COUNTIFS($B$3:$B$302,$B6,$D$3:$D$302,"&lt;="&amp;$E6,$E$3:$E$302,"&gt;="&amp;$D6,$H$3:$H$302,"&lt;&gt;"&amp;'الإعدادات'!$Q$10)&gt;1,"يتداخل مع زميل في الفرع",""))</f>
        <v/>
      </c>
    </row>
    <row r="7">
      <c r="A7" s="4" t="inlineStr">
        <is>
          <t>ريم عبدالله</t>
        </is>
      </c>
      <c r="B7" s="8">
        <f>IF($A7="","",IFERROR(INDEX(StaffBranch,MATCH($A7,Staff,0)),""))</f>
        <v/>
      </c>
      <c r="C7" s="4" t="inlineStr">
        <is>
          <t>سنوية</t>
        </is>
      </c>
      <c r="D7" s="12" t="n">
        <v>46236</v>
      </c>
      <c r="E7" s="12" t="n">
        <v>46240</v>
      </c>
      <c r="F7" s="28">
        <f>IF(OR($D7="",$E7=""),"",_xlfn.NETWORKDAYS.INTL($D7,$E7,Weekend))</f>
        <v/>
      </c>
      <c r="G7" s="4" t="inlineStr">
        <is>
          <t>د. سارة الحربي</t>
        </is>
      </c>
      <c r="H7" s="4" t="inlineStr">
        <is>
          <t>معتمدة</t>
        </is>
      </c>
      <c r="I7" s="8">
        <f>IF(OR($A7="",$H7='الإعدادات'!$Q$10),"",IF(COUNTIFS($B$3:$B$302,$B7,$D$3:$D$302,"&lt;="&amp;$E7,$E$3:$E$302,"&gt;="&amp;$D7,$H$3:$H$302,"&lt;&gt;"&amp;'الإعدادات'!$Q$10)&gt;1,"يتداخل مع زميل في الفرع",""))</f>
        <v/>
      </c>
    </row>
    <row r="8">
      <c r="A8" s="4" t="inlineStr">
        <is>
          <t>ياسمين علي</t>
        </is>
      </c>
      <c r="B8" s="8">
        <f>IF($A8="","",IFERROR(INDEX(StaffBranch,MATCH($A8,Staff,0)),""))</f>
        <v/>
      </c>
      <c r="C8" s="4" t="inlineStr">
        <is>
          <t>سنوية</t>
        </is>
      </c>
      <c r="D8" s="12" t="n">
        <v>46244</v>
      </c>
      <c r="E8" s="12" t="n">
        <v>46247</v>
      </c>
      <c r="F8" s="28">
        <f>IF(OR($D8="",$E8=""),"",_xlfn.NETWORKDAYS.INTL($D8,$E8,Weekend))</f>
        <v/>
      </c>
      <c r="G8" s="4" t="n"/>
      <c r="H8" s="4" t="inlineStr">
        <is>
          <t>قيد الانتظار</t>
        </is>
      </c>
      <c r="I8" s="8">
        <f>IF(OR($A8="",$H8='الإعدادات'!$Q$10),"",IF(COUNTIFS($B$3:$B$302,$B8,$D$3:$D$302,"&lt;="&amp;$E8,$E$3:$E$302,"&gt;="&amp;$D8,$H$3:$H$302,"&lt;&gt;"&amp;'الإعدادات'!$Q$10)&gt;1,"يتداخل مع زميل في الفرع",""))</f>
        <v/>
      </c>
    </row>
    <row r="9">
      <c r="A9" s="4" t="n"/>
      <c r="B9" s="8">
        <f>IF($A9="","",IFERROR(INDEX(StaffBranch,MATCH($A9,Staff,0)),""))</f>
        <v/>
      </c>
      <c r="C9" s="4" t="n"/>
      <c r="D9" s="12" t="n"/>
      <c r="E9" s="12" t="n"/>
      <c r="F9" s="28">
        <f>IF(OR($D9="",$E9=""),"",_xlfn.NETWORKDAYS.INTL($D9,$E9,Weekend))</f>
        <v/>
      </c>
      <c r="G9" s="4" t="n"/>
      <c r="H9" s="4" t="n"/>
      <c r="I9" s="8">
        <f>IF(OR($A9="",$H9='الإعدادات'!$Q$10),"",IF(COUNTIFS($B$3:$B$302,$B9,$D$3:$D$302,"&lt;="&amp;$E9,$E$3:$E$302,"&gt;="&amp;$D9,$H$3:$H$302,"&lt;&gt;"&amp;'الإعدادات'!$Q$10)&gt;1,"يتداخل مع زميل في الفرع",""))</f>
        <v/>
      </c>
    </row>
    <row r="10">
      <c r="A10" s="4" t="n"/>
      <c r="B10" s="8">
        <f>IF($A10="","",IFERROR(INDEX(StaffBranch,MATCH($A10,Staff,0)),""))</f>
        <v/>
      </c>
      <c r="C10" s="4" t="n"/>
      <c r="D10" s="12" t="n"/>
      <c r="E10" s="12" t="n"/>
      <c r="F10" s="28">
        <f>IF(OR($D10="",$E10=""),"",_xlfn.NETWORKDAYS.INTL($D10,$E10,Weekend))</f>
        <v/>
      </c>
      <c r="G10" s="4" t="n"/>
      <c r="H10" s="4" t="n"/>
      <c r="I10" s="8">
        <f>IF(OR($A10="",$H10='الإعدادات'!$Q$10),"",IF(COUNTIFS($B$3:$B$302,$B10,$D$3:$D$302,"&lt;="&amp;$E10,$E$3:$E$302,"&gt;="&amp;$D10,$H$3:$H$302,"&lt;&gt;"&amp;'الإعدادات'!$Q$10)&gt;1,"يتداخل مع زميل في الفرع",""))</f>
        <v/>
      </c>
    </row>
    <row r="11">
      <c r="A11" s="4" t="n"/>
      <c r="B11" s="8">
        <f>IF($A11="","",IFERROR(INDEX(StaffBranch,MATCH($A11,Staff,0)),""))</f>
        <v/>
      </c>
      <c r="C11" s="4" t="n"/>
      <c r="D11" s="12" t="n"/>
      <c r="E11" s="12" t="n"/>
      <c r="F11" s="28">
        <f>IF(OR($D11="",$E11=""),"",_xlfn.NETWORKDAYS.INTL($D11,$E11,Weekend))</f>
        <v/>
      </c>
      <c r="G11" s="4" t="n"/>
      <c r="H11" s="4" t="n"/>
      <c r="I11" s="8">
        <f>IF(OR($A11="",$H11='الإعدادات'!$Q$10),"",IF(COUNTIFS($B$3:$B$302,$B11,$D$3:$D$302,"&lt;="&amp;$E11,$E$3:$E$302,"&gt;="&amp;$D11,$H$3:$H$302,"&lt;&gt;"&amp;'الإعدادات'!$Q$10)&gt;1,"يتداخل مع زميل في الفرع",""))</f>
        <v/>
      </c>
    </row>
    <row r="12">
      <c r="A12" s="4" t="n"/>
      <c r="B12" s="8">
        <f>IF($A12="","",IFERROR(INDEX(StaffBranch,MATCH($A12,Staff,0)),""))</f>
        <v/>
      </c>
      <c r="C12" s="4" t="n"/>
      <c r="D12" s="12" t="n"/>
      <c r="E12" s="12" t="n"/>
      <c r="F12" s="28">
        <f>IF(OR($D12="",$E12=""),"",_xlfn.NETWORKDAYS.INTL($D12,$E12,Weekend))</f>
        <v/>
      </c>
      <c r="G12" s="4" t="n"/>
      <c r="H12" s="4" t="n"/>
      <c r="I12" s="8">
        <f>IF(OR($A12="",$H12='الإعدادات'!$Q$10),"",IF(COUNTIFS($B$3:$B$302,$B12,$D$3:$D$302,"&lt;="&amp;$E12,$E$3:$E$302,"&gt;="&amp;$D12,$H$3:$H$302,"&lt;&gt;"&amp;'الإعدادات'!$Q$10)&gt;1,"يتداخل مع زميل في الفرع",""))</f>
        <v/>
      </c>
    </row>
    <row r="13">
      <c r="A13" s="4" t="n"/>
      <c r="B13" s="8">
        <f>IF($A13="","",IFERROR(INDEX(StaffBranch,MATCH($A13,Staff,0)),""))</f>
        <v/>
      </c>
      <c r="C13" s="4" t="n"/>
      <c r="D13" s="12" t="n"/>
      <c r="E13" s="12" t="n"/>
      <c r="F13" s="28">
        <f>IF(OR($D13="",$E13=""),"",_xlfn.NETWORKDAYS.INTL($D13,$E13,Weekend))</f>
        <v/>
      </c>
      <c r="G13" s="4" t="n"/>
      <c r="H13" s="4" t="n"/>
      <c r="I13" s="8">
        <f>IF(OR($A13="",$H13='الإعدادات'!$Q$10),"",IF(COUNTIFS($B$3:$B$302,$B13,$D$3:$D$302,"&lt;="&amp;$E13,$E$3:$E$302,"&gt;="&amp;$D13,$H$3:$H$302,"&lt;&gt;"&amp;'الإعدادات'!$Q$10)&gt;1,"يتداخل مع زميل في الفرع",""))</f>
        <v/>
      </c>
    </row>
    <row r="14">
      <c r="A14" s="4" t="n"/>
      <c r="B14" s="8">
        <f>IF($A14="","",IFERROR(INDEX(StaffBranch,MATCH($A14,Staff,0)),""))</f>
        <v/>
      </c>
      <c r="C14" s="4" t="n"/>
      <c r="D14" s="12" t="n"/>
      <c r="E14" s="12" t="n"/>
      <c r="F14" s="28">
        <f>IF(OR($D14="",$E14=""),"",_xlfn.NETWORKDAYS.INTL($D14,$E14,Weekend))</f>
        <v/>
      </c>
      <c r="G14" s="4" t="n"/>
      <c r="H14" s="4" t="n"/>
      <c r="I14" s="8">
        <f>IF(OR($A14="",$H14='الإعدادات'!$Q$10),"",IF(COUNTIFS($B$3:$B$302,$B14,$D$3:$D$302,"&lt;="&amp;$E14,$E$3:$E$302,"&gt;="&amp;$D14,$H$3:$H$302,"&lt;&gt;"&amp;'الإعدادات'!$Q$10)&gt;1,"يتداخل مع زميل في الفرع",""))</f>
        <v/>
      </c>
    </row>
    <row r="15">
      <c r="A15" s="4" t="n"/>
      <c r="B15" s="8">
        <f>IF($A15="","",IFERROR(INDEX(StaffBranch,MATCH($A15,Staff,0)),""))</f>
        <v/>
      </c>
      <c r="C15" s="4" t="n"/>
      <c r="D15" s="12" t="n"/>
      <c r="E15" s="12" t="n"/>
      <c r="F15" s="28">
        <f>IF(OR($D15="",$E15=""),"",_xlfn.NETWORKDAYS.INTL($D15,$E15,Weekend))</f>
        <v/>
      </c>
      <c r="G15" s="4" t="n"/>
      <c r="H15" s="4" t="n"/>
      <c r="I15" s="8">
        <f>IF(OR($A15="",$H15='الإعدادات'!$Q$10),"",IF(COUNTIFS($B$3:$B$302,$B15,$D$3:$D$302,"&lt;="&amp;$E15,$E$3:$E$302,"&gt;="&amp;$D15,$H$3:$H$302,"&lt;&gt;"&amp;'الإعدادات'!$Q$10)&gt;1,"يتداخل مع زميل في الفرع",""))</f>
        <v/>
      </c>
    </row>
    <row r="16">
      <c r="A16" s="4" t="n"/>
      <c r="B16" s="8">
        <f>IF($A16="","",IFERROR(INDEX(StaffBranch,MATCH($A16,Staff,0)),""))</f>
        <v/>
      </c>
      <c r="C16" s="4" t="n"/>
      <c r="D16" s="12" t="n"/>
      <c r="E16" s="12" t="n"/>
      <c r="F16" s="28">
        <f>IF(OR($D16="",$E16=""),"",_xlfn.NETWORKDAYS.INTL($D16,$E16,Weekend))</f>
        <v/>
      </c>
      <c r="G16" s="4" t="n"/>
      <c r="H16" s="4" t="n"/>
      <c r="I16" s="8">
        <f>IF(OR($A16="",$H16='الإعدادات'!$Q$10),"",IF(COUNTIFS($B$3:$B$302,$B16,$D$3:$D$302,"&lt;="&amp;$E16,$E$3:$E$302,"&gt;="&amp;$D16,$H$3:$H$302,"&lt;&gt;"&amp;'الإعدادات'!$Q$10)&gt;1,"يتداخل مع زميل في الفرع",""))</f>
        <v/>
      </c>
    </row>
    <row r="17">
      <c r="A17" s="4" t="n"/>
      <c r="B17" s="8">
        <f>IF($A17="","",IFERROR(INDEX(StaffBranch,MATCH($A17,Staff,0)),""))</f>
        <v/>
      </c>
      <c r="C17" s="4" t="n"/>
      <c r="D17" s="12" t="n"/>
      <c r="E17" s="12" t="n"/>
      <c r="F17" s="28">
        <f>IF(OR($D17="",$E17=""),"",_xlfn.NETWORKDAYS.INTL($D17,$E17,Weekend))</f>
        <v/>
      </c>
      <c r="G17" s="4" t="n"/>
      <c r="H17" s="4" t="n"/>
      <c r="I17" s="8">
        <f>IF(OR($A17="",$H17='الإعدادات'!$Q$10),"",IF(COUNTIFS($B$3:$B$302,$B17,$D$3:$D$302,"&lt;="&amp;$E17,$E$3:$E$302,"&gt;="&amp;$D17,$H$3:$H$302,"&lt;&gt;"&amp;'الإعدادات'!$Q$10)&gt;1,"يتداخل مع زميل في الفرع",""))</f>
        <v/>
      </c>
    </row>
    <row r="18">
      <c r="A18" s="4" t="n"/>
      <c r="B18" s="8">
        <f>IF($A18="","",IFERROR(INDEX(StaffBranch,MATCH($A18,Staff,0)),""))</f>
        <v/>
      </c>
      <c r="C18" s="4" t="n"/>
      <c r="D18" s="12" t="n"/>
      <c r="E18" s="12" t="n"/>
      <c r="F18" s="28">
        <f>IF(OR($D18="",$E18=""),"",_xlfn.NETWORKDAYS.INTL($D18,$E18,Weekend))</f>
        <v/>
      </c>
      <c r="G18" s="4" t="n"/>
      <c r="H18" s="4" t="n"/>
      <c r="I18" s="8">
        <f>IF(OR($A18="",$H18='الإعدادات'!$Q$10),"",IF(COUNTIFS($B$3:$B$302,$B18,$D$3:$D$302,"&lt;="&amp;$E18,$E$3:$E$302,"&gt;="&amp;$D18,$H$3:$H$302,"&lt;&gt;"&amp;'الإعدادات'!$Q$10)&gt;1,"يتداخل مع زميل في الفرع",""))</f>
        <v/>
      </c>
    </row>
    <row r="19">
      <c r="A19" s="4" t="n"/>
      <c r="B19" s="8">
        <f>IF($A19="","",IFERROR(INDEX(StaffBranch,MATCH($A19,Staff,0)),""))</f>
        <v/>
      </c>
      <c r="C19" s="4" t="n"/>
      <c r="D19" s="12" t="n"/>
      <c r="E19" s="12" t="n"/>
      <c r="F19" s="28">
        <f>IF(OR($D19="",$E19=""),"",_xlfn.NETWORKDAYS.INTL($D19,$E19,Weekend))</f>
        <v/>
      </c>
      <c r="G19" s="4" t="n"/>
      <c r="H19" s="4" t="n"/>
      <c r="I19" s="8">
        <f>IF(OR($A19="",$H19='الإعدادات'!$Q$10),"",IF(COUNTIFS($B$3:$B$302,$B19,$D$3:$D$302,"&lt;="&amp;$E19,$E$3:$E$302,"&gt;="&amp;$D19,$H$3:$H$302,"&lt;&gt;"&amp;'الإعدادات'!$Q$10)&gt;1,"يتداخل مع زميل في الفرع",""))</f>
        <v/>
      </c>
    </row>
    <row r="20">
      <c r="A20" s="4" t="n"/>
      <c r="B20" s="8">
        <f>IF($A20="","",IFERROR(INDEX(StaffBranch,MATCH($A20,Staff,0)),""))</f>
        <v/>
      </c>
      <c r="C20" s="4" t="n"/>
      <c r="D20" s="12" t="n"/>
      <c r="E20" s="12" t="n"/>
      <c r="F20" s="28">
        <f>IF(OR($D20="",$E20=""),"",_xlfn.NETWORKDAYS.INTL($D20,$E20,Weekend))</f>
        <v/>
      </c>
      <c r="G20" s="4" t="n"/>
      <c r="H20" s="4" t="n"/>
      <c r="I20" s="8">
        <f>IF(OR($A20="",$H20='الإعدادات'!$Q$10),"",IF(COUNTIFS($B$3:$B$302,$B20,$D$3:$D$302,"&lt;="&amp;$E20,$E$3:$E$302,"&gt;="&amp;$D20,$H$3:$H$302,"&lt;&gt;"&amp;'الإعدادات'!$Q$10)&gt;1,"يتداخل مع زميل في الفرع",""))</f>
        <v/>
      </c>
    </row>
    <row r="21">
      <c r="A21" s="4" t="n"/>
      <c r="B21" s="8">
        <f>IF($A21="","",IFERROR(INDEX(StaffBranch,MATCH($A21,Staff,0)),""))</f>
        <v/>
      </c>
      <c r="C21" s="4" t="n"/>
      <c r="D21" s="12" t="n"/>
      <c r="E21" s="12" t="n"/>
      <c r="F21" s="28">
        <f>IF(OR($D21="",$E21=""),"",_xlfn.NETWORKDAYS.INTL($D21,$E21,Weekend))</f>
        <v/>
      </c>
      <c r="G21" s="4" t="n"/>
      <c r="H21" s="4" t="n"/>
      <c r="I21" s="8">
        <f>IF(OR($A21="",$H21='الإعدادات'!$Q$10),"",IF(COUNTIFS($B$3:$B$302,$B21,$D$3:$D$302,"&lt;="&amp;$E21,$E$3:$E$302,"&gt;="&amp;$D21,$H$3:$H$302,"&lt;&gt;"&amp;'الإعدادات'!$Q$10)&gt;1,"يتداخل مع زميل في الفرع",""))</f>
        <v/>
      </c>
    </row>
    <row r="22">
      <c r="A22" s="4" t="n"/>
      <c r="B22" s="8">
        <f>IF($A22="","",IFERROR(INDEX(StaffBranch,MATCH($A22,Staff,0)),""))</f>
        <v/>
      </c>
      <c r="C22" s="4" t="n"/>
      <c r="D22" s="12" t="n"/>
      <c r="E22" s="12" t="n"/>
      <c r="F22" s="28">
        <f>IF(OR($D22="",$E22=""),"",_xlfn.NETWORKDAYS.INTL($D22,$E22,Weekend))</f>
        <v/>
      </c>
      <c r="G22" s="4" t="n"/>
      <c r="H22" s="4" t="n"/>
      <c r="I22" s="8">
        <f>IF(OR($A22="",$H22='الإعدادات'!$Q$10),"",IF(COUNTIFS($B$3:$B$302,$B22,$D$3:$D$302,"&lt;="&amp;$E22,$E$3:$E$302,"&gt;="&amp;$D22,$H$3:$H$302,"&lt;&gt;"&amp;'الإعدادات'!$Q$10)&gt;1,"يتداخل مع زميل في الفرع",""))</f>
        <v/>
      </c>
    </row>
    <row r="23">
      <c r="A23" s="4" t="n"/>
      <c r="B23" s="8">
        <f>IF($A23="","",IFERROR(INDEX(StaffBranch,MATCH($A23,Staff,0)),""))</f>
        <v/>
      </c>
      <c r="C23" s="4" t="n"/>
      <c r="D23" s="12" t="n"/>
      <c r="E23" s="12" t="n"/>
      <c r="F23" s="28">
        <f>IF(OR($D23="",$E23=""),"",_xlfn.NETWORKDAYS.INTL($D23,$E23,Weekend))</f>
        <v/>
      </c>
      <c r="G23" s="4" t="n"/>
      <c r="H23" s="4" t="n"/>
      <c r="I23" s="8">
        <f>IF(OR($A23="",$H23='الإعدادات'!$Q$10),"",IF(COUNTIFS($B$3:$B$302,$B23,$D$3:$D$302,"&lt;="&amp;$E23,$E$3:$E$302,"&gt;="&amp;$D23,$H$3:$H$302,"&lt;&gt;"&amp;'الإعدادات'!$Q$10)&gt;1,"يتداخل مع زميل في الفرع",""))</f>
        <v/>
      </c>
    </row>
    <row r="24">
      <c r="A24" s="4" t="n"/>
      <c r="B24" s="8">
        <f>IF($A24="","",IFERROR(INDEX(StaffBranch,MATCH($A24,Staff,0)),""))</f>
        <v/>
      </c>
      <c r="C24" s="4" t="n"/>
      <c r="D24" s="12" t="n"/>
      <c r="E24" s="12" t="n"/>
      <c r="F24" s="28">
        <f>IF(OR($D24="",$E24=""),"",_xlfn.NETWORKDAYS.INTL($D24,$E24,Weekend))</f>
        <v/>
      </c>
      <c r="G24" s="4" t="n"/>
      <c r="H24" s="4" t="n"/>
      <c r="I24" s="8">
        <f>IF(OR($A24="",$H24='الإعدادات'!$Q$10),"",IF(COUNTIFS($B$3:$B$302,$B24,$D$3:$D$302,"&lt;="&amp;$E24,$E$3:$E$302,"&gt;="&amp;$D24,$H$3:$H$302,"&lt;&gt;"&amp;'الإعدادات'!$Q$10)&gt;1,"يتداخل مع زميل في الفرع",""))</f>
        <v/>
      </c>
    </row>
    <row r="25">
      <c r="A25" s="4" t="n"/>
      <c r="B25" s="8">
        <f>IF($A25="","",IFERROR(INDEX(StaffBranch,MATCH($A25,Staff,0)),""))</f>
        <v/>
      </c>
      <c r="C25" s="4" t="n"/>
      <c r="D25" s="12" t="n"/>
      <c r="E25" s="12" t="n"/>
      <c r="F25" s="28">
        <f>IF(OR($D25="",$E25=""),"",_xlfn.NETWORKDAYS.INTL($D25,$E25,Weekend))</f>
        <v/>
      </c>
      <c r="G25" s="4" t="n"/>
      <c r="H25" s="4" t="n"/>
      <c r="I25" s="8">
        <f>IF(OR($A25="",$H25='الإعدادات'!$Q$10),"",IF(COUNTIFS($B$3:$B$302,$B25,$D$3:$D$302,"&lt;="&amp;$E25,$E$3:$E$302,"&gt;="&amp;$D25,$H$3:$H$302,"&lt;&gt;"&amp;'الإعدادات'!$Q$10)&gt;1,"يتداخل مع زميل في الفرع",""))</f>
        <v/>
      </c>
    </row>
    <row r="26">
      <c r="A26" s="4" t="n"/>
      <c r="B26" s="8">
        <f>IF($A26="","",IFERROR(INDEX(StaffBranch,MATCH($A26,Staff,0)),""))</f>
        <v/>
      </c>
      <c r="C26" s="4" t="n"/>
      <c r="D26" s="12" t="n"/>
      <c r="E26" s="12" t="n"/>
      <c r="F26" s="28">
        <f>IF(OR($D26="",$E26=""),"",_xlfn.NETWORKDAYS.INTL($D26,$E26,Weekend))</f>
        <v/>
      </c>
      <c r="G26" s="4" t="n"/>
      <c r="H26" s="4" t="n"/>
      <c r="I26" s="8">
        <f>IF(OR($A26="",$H26='الإعدادات'!$Q$10),"",IF(COUNTIFS($B$3:$B$302,$B26,$D$3:$D$302,"&lt;="&amp;$E26,$E$3:$E$302,"&gt;="&amp;$D26,$H$3:$H$302,"&lt;&gt;"&amp;'الإعدادات'!$Q$10)&gt;1,"يتداخل مع زميل في الفرع",""))</f>
        <v/>
      </c>
    </row>
    <row r="27">
      <c r="A27" s="4" t="n"/>
      <c r="B27" s="8">
        <f>IF($A27="","",IFERROR(INDEX(StaffBranch,MATCH($A27,Staff,0)),""))</f>
        <v/>
      </c>
      <c r="C27" s="4" t="n"/>
      <c r="D27" s="12" t="n"/>
      <c r="E27" s="12" t="n"/>
      <c r="F27" s="28">
        <f>IF(OR($D27="",$E27=""),"",_xlfn.NETWORKDAYS.INTL($D27,$E27,Weekend))</f>
        <v/>
      </c>
      <c r="G27" s="4" t="n"/>
      <c r="H27" s="4" t="n"/>
      <c r="I27" s="8">
        <f>IF(OR($A27="",$H27='الإعدادات'!$Q$10),"",IF(COUNTIFS($B$3:$B$302,$B27,$D$3:$D$302,"&lt;="&amp;$E27,$E$3:$E$302,"&gt;="&amp;$D27,$H$3:$H$302,"&lt;&gt;"&amp;'الإعدادات'!$Q$10)&gt;1,"يتداخل مع زميل في الفرع",""))</f>
        <v/>
      </c>
    </row>
    <row r="28">
      <c r="A28" s="4" t="n"/>
      <c r="B28" s="8">
        <f>IF($A28="","",IFERROR(INDEX(StaffBranch,MATCH($A28,Staff,0)),""))</f>
        <v/>
      </c>
      <c r="C28" s="4" t="n"/>
      <c r="D28" s="12" t="n"/>
      <c r="E28" s="12" t="n"/>
      <c r="F28" s="28">
        <f>IF(OR($D28="",$E28=""),"",_xlfn.NETWORKDAYS.INTL($D28,$E28,Weekend))</f>
        <v/>
      </c>
      <c r="G28" s="4" t="n"/>
      <c r="H28" s="4" t="n"/>
      <c r="I28" s="8">
        <f>IF(OR($A28="",$H28='الإعدادات'!$Q$10),"",IF(COUNTIFS($B$3:$B$302,$B28,$D$3:$D$302,"&lt;="&amp;$E28,$E$3:$E$302,"&gt;="&amp;$D28,$H$3:$H$302,"&lt;&gt;"&amp;'الإعدادات'!$Q$10)&gt;1,"يتداخل مع زميل في الفرع",""))</f>
        <v/>
      </c>
    </row>
    <row r="29">
      <c r="A29" s="4" t="n"/>
      <c r="B29" s="8">
        <f>IF($A29="","",IFERROR(INDEX(StaffBranch,MATCH($A29,Staff,0)),""))</f>
        <v/>
      </c>
      <c r="C29" s="4" t="n"/>
      <c r="D29" s="12" t="n"/>
      <c r="E29" s="12" t="n"/>
      <c r="F29" s="28">
        <f>IF(OR($D29="",$E29=""),"",_xlfn.NETWORKDAYS.INTL($D29,$E29,Weekend))</f>
        <v/>
      </c>
      <c r="G29" s="4" t="n"/>
      <c r="H29" s="4" t="n"/>
      <c r="I29" s="8">
        <f>IF(OR($A29="",$H29='الإعدادات'!$Q$10),"",IF(COUNTIFS($B$3:$B$302,$B29,$D$3:$D$302,"&lt;="&amp;$E29,$E$3:$E$302,"&gt;="&amp;$D29,$H$3:$H$302,"&lt;&gt;"&amp;'الإعدادات'!$Q$10)&gt;1,"يتداخل مع زميل في الفرع",""))</f>
        <v/>
      </c>
    </row>
    <row r="30">
      <c r="A30" s="4" t="n"/>
      <c r="B30" s="8">
        <f>IF($A30="","",IFERROR(INDEX(StaffBranch,MATCH($A30,Staff,0)),""))</f>
        <v/>
      </c>
      <c r="C30" s="4" t="n"/>
      <c r="D30" s="12" t="n"/>
      <c r="E30" s="12" t="n"/>
      <c r="F30" s="28">
        <f>IF(OR($D30="",$E30=""),"",_xlfn.NETWORKDAYS.INTL($D30,$E30,Weekend))</f>
        <v/>
      </c>
      <c r="G30" s="4" t="n"/>
      <c r="H30" s="4" t="n"/>
      <c r="I30" s="8">
        <f>IF(OR($A30="",$H30='الإعدادات'!$Q$10),"",IF(COUNTIFS($B$3:$B$302,$B30,$D$3:$D$302,"&lt;="&amp;$E30,$E$3:$E$302,"&gt;="&amp;$D30,$H$3:$H$302,"&lt;&gt;"&amp;'الإعدادات'!$Q$10)&gt;1,"يتداخل مع زميل في الفرع",""))</f>
        <v/>
      </c>
    </row>
    <row r="31">
      <c r="A31" s="4" t="n"/>
      <c r="B31" s="8">
        <f>IF($A31="","",IFERROR(INDEX(StaffBranch,MATCH($A31,Staff,0)),""))</f>
        <v/>
      </c>
      <c r="C31" s="4" t="n"/>
      <c r="D31" s="12" t="n"/>
      <c r="E31" s="12" t="n"/>
      <c r="F31" s="28">
        <f>IF(OR($D31="",$E31=""),"",_xlfn.NETWORKDAYS.INTL($D31,$E31,Weekend))</f>
        <v/>
      </c>
      <c r="G31" s="4" t="n"/>
      <c r="H31" s="4" t="n"/>
      <c r="I31" s="8">
        <f>IF(OR($A31="",$H31='الإعدادات'!$Q$10),"",IF(COUNTIFS($B$3:$B$302,$B31,$D$3:$D$302,"&lt;="&amp;$E31,$E$3:$E$302,"&gt;="&amp;$D31,$H$3:$H$302,"&lt;&gt;"&amp;'الإعدادات'!$Q$10)&gt;1,"يتداخل مع زميل في الفرع",""))</f>
        <v/>
      </c>
    </row>
    <row r="32">
      <c r="A32" s="4" t="n"/>
      <c r="B32" s="8">
        <f>IF($A32="","",IFERROR(INDEX(StaffBranch,MATCH($A32,Staff,0)),""))</f>
        <v/>
      </c>
      <c r="C32" s="4" t="n"/>
      <c r="D32" s="12" t="n"/>
      <c r="E32" s="12" t="n"/>
      <c r="F32" s="28">
        <f>IF(OR($D32="",$E32=""),"",_xlfn.NETWORKDAYS.INTL($D32,$E32,Weekend))</f>
        <v/>
      </c>
      <c r="G32" s="4" t="n"/>
      <c r="H32" s="4" t="n"/>
      <c r="I32" s="8">
        <f>IF(OR($A32="",$H32='الإعدادات'!$Q$10),"",IF(COUNTIFS($B$3:$B$302,$B32,$D$3:$D$302,"&lt;="&amp;$E32,$E$3:$E$302,"&gt;="&amp;$D32,$H$3:$H$302,"&lt;&gt;"&amp;'الإعدادات'!$Q$10)&gt;1,"يتداخل مع زميل في الفرع",""))</f>
        <v/>
      </c>
    </row>
    <row r="33">
      <c r="A33" s="4" t="n"/>
      <c r="B33" s="8">
        <f>IF($A33="","",IFERROR(INDEX(StaffBranch,MATCH($A33,Staff,0)),""))</f>
        <v/>
      </c>
      <c r="C33" s="4" t="n"/>
      <c r="D33" s="12" t="n"/>
      <c r="E33" s="12" t="n"/>
      <c r="F33" s="28">
        <f>IF(OR($D33="",$E33=""),"",_xlfn.NETWORKDAYS.INTL($D33,$E33,Weekend))</f>
        <v/>
      </c>
      <c r="G33" s="4" t="n"/>
      <c r="H33" s="4" t="n"/>
      <c r="I33" s="8">
        <f>IF(OR($A33="",$H33='الإعدادات'!$Q$10),"",IF(COUNTIFS($B$3:$B$302,$B33,$D$3:$D$302,"&lt;="&amp;$E33,$E$3:$E$302,"&gt;="&amp;$D33,$H$3:$H$302,"&lt;&gt;"&amp;'الإعدادات'!$Q$10)&gt;1,"يتداخل مع زميل في الفرع",""))</f>
        <v/>
      </c>
    </row>
    <row r="34">
      <c r="A34" s="4" t="n"/>
      <c r="B34" s="8">
        <f>IF($A34="","",IFERROR(INDEX(StaffBranch,MATCH($A34,Staff,0)),""))</f>
        <v/>
      </c>
      <c r="C34" s="4" t="n"/>
      <c r="D34" s="12" t="n"/>
      <c r="E34" s="12" t="n"/>
      <c r="F34" s="28">
        <f>IF(OR($D34="",$E34=""),"",_xlfn.NETWORKDAYS.INTL($D34,$E34,Weekend))</f>
        <v/>
      </c>
      <c r="G34" s="4" t="n"/>
      <c r="H34" s="4" t="n"/>
      <c r="I34" s="8">
        <f>IF(OR($A34="",$H34='الإعدادات'!$Q$10),"",IF(COUNTIFS($B$3:$B$302,$B34,$D$3:$D$302,"&lt;="&amp;$E34,$E$3:$E$302,"&gt;="&amp;$D34,$H$3:$H$302,"&lt;&gt;"&amp;'الإعدادات'!$Q$10)&gt;1,"يتداخل مع زميل في الفرع",""))</f>
        <v/>
      </c>
    </row>
    <row r="35">
      <c r="A35" s="4" t="n"/>
      <c r="B35" s="8">
        <f>IF($A35="","",IFERROR(INDEX(StaffBranch,MATCH($A35,Staff,0)),""))</f>
        <v/>
      </c>
      <c r="C35" s="4" t="n"/>
      <c r="D35" s="12" t="n"/>
      <c r="E35" s="12" t="n"/>
      <c r="F35" s="28">
        <f>IF(OR($D35="",$E35=""),"",_xlfn.NETWORKDAYS.INTL($D35,$E35,Weekend))</f>
        <v/>
      </c>
      <c r="G35" s="4" t="n"/>
      <c r="H35" s="4" t="n"/>
      <c r="I35" s="8">
        <f>IF(OR($A35="",$H35='الإعدادات'!$Q$10),"",IF(COUNTIFS($B$3:$B$302,$B35,$D$3:$D$302,"&lt;="&amp;$E35,$E$3:$E$302,"&gt;="&amp;$D35,$H$3:$H$302,"&lt;&gt;"&amp;'الإعدادات'!$Q$10)&gt;1,"يتداخل مع زميل في الفرع",""))</f>
        <v/>
      </c>
    </row>
    <row r="36">
      <c r="A36" s="4" t="n"/>
      <c r="B36" s="8">
        <f>IF($A36="","",IFERROR(INDEX(StaffBranch,MATCH($A36,Staff,0)),""))</f>
        <v/>
      </c>
      <c r="C36" s="4" t="n"/>
      <c r="D36" s="12" t="n"/>
      <c r="E36" s="12" t="n"/>
      <c r="F36" s="28">
        <f>IF(OR($D36="",$E36=""),"",_xlfn.NETWORKDAYS.INTL($D36,$E36,Weekend))</f>
        <v/>
      </c>
      <c r="G36" s="4" t="n"/>
      <c r="H36" s="4" t="n"/>
      <c r="I36" s="8">
        <f>IF(OR($A36="",$H36='الإعدادات'!$Q$10),"",IF(COUNTIFS($B$3:$B$302,$B36,$D$3:$D$302,"&lt;="&amp;$E36,$E$3:$E$302,"&gt;="&amp;$D36,$H$3:$H$302,"&lt;&gt;"&amp;'الإعدادات'!$Q$10)&gt;1,"يتداخل مع زميل في الفرع",""))</f>
        <v/>
      </c>
    </row>
    <row r="37">
      <c r="A37" s="4" t="n"/>
      <c r="B37" s="8">
        <f>IF($A37="","",IFERROR(INDEX(StaffBranch,MATCH($A37,Staff,0)),""))</f>
        <v/>
      </c>
      <c r="C37" s="4" t="n"/>
      <c r="D37" s="12" t="n"/>
      <c r="E37" s="12" t="n"/>
      <c r="F37" s="28">
        <f>IF(OR($D37="",$E37=""),"",_xlfn.NETWORKDAYS.INTL($D37,$E37,Weekend))</f>
        <v/>
      </c>
      <c r="G37" s="4" t="n"/>
      <c r="H37" s="4" t="n"/>
      <c r="I37" s="8">
        <f>IF(OR($A37="",$H37='الإعدادات'!$Q$10),"",IF(COUNTIFS($B$3:$B$302,$B37,$D$3:$D$302,"&lt;="&amp;$E37,$E$3:$E$302,"&gt;="&amp;$D37,$H$3:$H$302,"&lt;&gt;"&amp;'الإعدادات'!$Q$10)&gt;1,"يتداخل مع زميل في الفرع",""))</f>
        <v/>
      </c>
    </row>
    <row r="38">
      <c r="A38" s="4" t="n"/>
      <c r="B38" s="8">
        <f>IF($A38="","",IFERROR(INDEX(StaffBranch,MATCH($A38,Staff,0)),""))</f>
        <v/>
      </c>
      <c r="C38" s="4" t="n"/>
      <c r="D38" s="12" t="n"/>
      <c r="E38" s="12" t="n"/>
      <c r="F38" s="28">
        <f>IF(OR($D38="",$E38=""),"",_xlfn.NETWORKDAYS.INTL($D38,$E38,Weekend))</f>
        <v/>
      </c>
      <c r="G38" s="4" t="n"/>
      <c r="H38" s="4" t="n"/>
      <c r="I38" s="8">
        <f>IF(OR($A38="",$H38='الإعدادات'!$Q$10),"",IF(COUNTIFS($B$3:$B$302,$B38,$D$3:$D$302,"&lt;="&amp;$E38,$E$3:$E$302,"&gt;="&amp;$D38,$H$3:$H$302,"&lt;&gt;"&amp;'الإعدادات'!$Q$10)&gt;1,"يتداخل مع زميل في الفرع",""))</f>
        <v/>
      </c>
    </row>
    <row r="39">
      <c r="A39" s="4" t="n"/>
      <c r="B39" s="8">
        <f>IF($A39="","",IFERROR(INDEX(StaffBranch,MATCH($A39,Staff,0)),""))</f>
        <v/>
      </c>
      <c r="C39" s="4" t="n"/>
      <c r="D39" s="12" t="n"/>
      <c r="E39" s="12" t="n"/>
      <c r="F39" s="28">
        <f>IF(OR($D39="",$E39=""),"",_xlfn.NETWORKDAYS.INTL($D39,$E39,Weekend))</f>
        <v/>
      </c>
      <c r="G39" s="4" t="n"/>
      <c r="H39" s="4" t="n"/>
      <c r="I39" s="8">
        <f>IF(OR($A39="",$H39='الإعدادات'!$Q$10),"",IF(COUNTIFS($B$3:$B$302,$B39,$D$3:$D$302,"&lt;="&amp;$E39,$E$3:$E$302,"&gt;="&amp;$D39,$H$3:$H$302,"&lt;&gt;"&amp;'الإعدادات'!$Q$10)&gt;1,"يتداخل مع زميل في الفرع",""))</f>
        <v/>
      </c>
    </row>
    <row r="40">
      <c r="A40" s="4" t="n"/>
      <c r="B40" s="8">
        <f>IF($A40="","",IFERROR(INDEX(StaffBranch,MATCH($A40,Staff,0)),""))</f>
        <v/>
      </c>
      <c r="C40" s="4" t="n"/>
      <c r="D40" s="12" t="n"/>
      <c r="E40" s="12" t="n"/>
      <c r="F40" s="28">
        <f>IF(OR($D40="",$E40=""),"",_xlfn.NETWORKDAYS.INTL($D40,$E40,Weekend))</f>
        <v/>
      </c>
      <c r="G40" s="4" t="n"/>
      <c r="H40" s="4" t="n"/>
      <c r="I40" s="8">
        <f>IF(OR($A40="",$H40='الإعدادات'!$Q$10),"",IF(COUNTIFS($B$3:$B$302,$B40,$D$3:$D$302,"&lt;="&amp;$E40,$E$3:$E$302,"&gt;="&amp;$D40,$H$3:$H$302,"&lt;&gt;"&amp;'الإعدادات'!$Q$10)&gt;1,"يتداخل مع زميل في الفرع",""))</f>
        <v/>
      </c>
    </row>
    <row r="41">
      <c r="A41" s="4" t="n"/>
      <c r="B41" s="8">
        <f>IF($A41="","",IFERROR(INDEX(StaffBranch,MATCH($A41,Staff,0)),""))</f>
        <v/>
      </c>
      <c r="C41" s="4" t="n"/>
      <c r="D41" s="12" t="n"/>
      <c r="E41" s="12" t="n"/>
      <c r="F41" s="28">
        <f>IF(OR($D41="",$E41=""),"",_xlfn.NETWORKDAYS.INTL($D41,$E41,Weekend))</f>
        <v/>
      </c>
      <c r="G41" s="4" t="n"/>
      <c r="H41" s="4" t="n"/>
      <c r="I41" s="8">
        <f>IF(OR($A41="",$H41='الإعدادات'!$Q$10),"",IF(COUNTIFS($B$3:$B$302,$B41,$D$3:$D$302,"&lt;="&amp;$E41,$E$3:$E$302,"&gt;="&amp;$D41,$H$3:$H$302,"&lt;&gt;"&amp;'الإعدادات'!$Q$10)&gt;1,"يتداخل مع زميل في الفرع",""))</f>
        <v/>
      </c>
    </row>
    <row r="42">
      <c r="A42" s="4" t="n"/>
      <c r="B42" s="8">
        <f>IF($A42="","",IFERROR(INDEX(StaffBranch,MATCH($A42,Staff,0)),""))</f>
        <v/>
      </c>
      <c r="C42" s="4" t="n"/>
      <c r="D42" s="12" t="n"/>
      <c r="E42" s="12" t="n"/>
      <c r="F42" s="28">
        <f>IF(OR($D42="",$E42=""),"",_xlfn.NETWORKDAYS.INTL($D42,$E42,Weekend))</f>
        <v/>
      </c>
      <c r="G42" s="4" t="n"/>
      <c r="H42" s="4" t="n"/>
      <c r="I42" s="8">
        <f>IF(OR($A42="",$H42='الإعدادات'!$Q$10),"",IF(COUNTIFS($B$3:$B$302,$B42,$D$3:$D$302,"&lt;="&amp;$E42,$E$3:$E$302,"&gt;="&amp;$D42,$H$3:$H$302,"&lt;&gt;"&amp;'الإعدادات'!$Q$10)&gt;1,"يتداخل مع زميل في الفرع",""))</f>
        <v/>
      </c>
    </row>
    <row r="43">
      <c r="A43" s="4" t="n"/>
      <c r="B43" s="8">
        <f>IF($A43="","",IFERROR(INDEX(StaffBranch,MATCH($A43,Staff,0)),""))</f>
        <v/>
      </c>
      <c r="C43" s="4" t="n"/>
      <c r="D43" s="12" t="n"/>
      <c r="E43" s="12" t="n"/>
      <c r="F43" s="28">
        <f>IF(OR($D43="",$E43=""),"",_xlfn.NETWORKDAYS.INTL($D43,$E43,Weekend))</f>
        <v/>
      </c>
      <c r="G43" s="4" t="n"/>
      <c r="H43" s="4" t="n"/>
      <c r="I43" s="8">
        <f>IF(OR($A43="",$H43='الإعدادات'!$Q$10),"",IF(COUNTIFS($B$3:$B$302,$B43,$D$3:$D$302,"&lt;="&amp;$E43,$E$3:$E$302,"&gt;="&amp;$D43,$H$3:$H$302,"&lt;&gt;"&amp;'الإعدادات'!$Q$10)&gt;1,"يتداخل مع زميل في الفرع",""))</f>
        <v/>
      </c>
    </row>
    <row r="44">
      <c r="A44" s="4" t="n"/>
      <c r="B44" s="8">
        <f>IF($A44="","",IFERROR(INDEX(StaffBranch,MATCH($A44,Staff,0)),""))</f>
        <v/>
      </c>
      <c r="C44" s="4" t="n"/>
      <c r="D44" s="12" t="n"/>
      <c r="E44" s="12" t="n"/>
      <c r="F44" s="28">
        <f>IF(OR($D44="",$E44=""),"",_xlfn.NETWORKDAYS.INTL($D44,$E44,Weekend))</f>
        <v/>
      </c>
      <c r="G44" s="4" t="n"/>
      <c r="H44" s="4" t="n"/>
      <c r="I44" s="8">
        <f>IF(OR($A44="",$H44='الإعدادات'!$Q$10),"",IF(COUNTIFS($B$3:$B$302,$B44,$D$3:$D$302,"&lt;="&amp;$E44,$E$3:$E$302,"&gt;="&amp;$D44,$H$3:$H$302,"&lt;&gt;"&amp;'الإعدادات'!$Q$10)&gt;1,"يتداخل مع زميل في الفرع",""))</f>
        <v/>
      </c>
    </row>
    <row r="45">
      <c r="A45" s="4" t="n"/>
      <c r="B45" s="8">
        <f>IF($A45="","",IFERROR(INDEX(StaffBranch,MATCH($A45,Staff,0)),""))</f>
        <v/>
      </c>
      <c r="C45" s="4" t="n"/>
      <c r="D45" s="12" t="n"/>
      <c r="E45" s="12" t="n"/>
      <c r="F45" s="28">
        <f>IF(OR($D45="",$E45=""),"",_xlfn.NETWORKDAYS.INTL($D45,$E45,Weekend))</f>
        <v/>
      </c>
      <c r="G45" s="4" t="n"/>
      <c r="H45" s="4" t="n"/>
      <c r="I45" s="8">
        <f>IF(OR($A45="",$H45='الإعدادات'!$Q$10),"",IF(COUNTIFS($B$3:$B$302,$B45,$D$3:$D$302,"&lt;="&amp;$E45,$E$3:$E$302,"&gt;="&amp;$D45,$H$3:$H$302,"&lt;&gt;"&amp;'الإعدادات'!$Q$10)&gt;1,"يتداخل مع زميل في الفرع",""))</f>
        <v/>
      </c>
    </row>
    <row r="46">
      <c r="A46" s="4" t="n"/>
      <c r="B46" s="8">
        <f>IF($A46="","",IFERROR(INDEX(StaffBranch,MATCH($A46,Staff,0)),""))</f>
        <v/>
      </c>
      <c r="C46" s="4" t="n"/>
      <c r="D46" s="12" t="n"/>
      <c r="E46" s="12" t="n"/>
      <c r="F46" s="28">
        <f>IF(OR($D46="",$E46=""),"",_xlfn.NETWORKDAYS.INTL($D46,$E46,Weekend))</f>
        <v/>
      </c>
      <c r="G46" s="4" t="n"/>
      <c r="H46" s="4" t="n"/>
      <c r="I46" s="8">
        <f>IF(OR($A46="",$H46='الإعدادات'!$Q$10),"",IF(COUNTIFS($B$3:$B$302,$B46,$D$3:$D$302,"&lt;="&amp;$E46,$E$3:$E$302,"&gt;="&amp;$D46,$H$3:$H$302,"&lt;&gt;"&amp;'الإعدادات'!$Q$10)&gt;1,"يتداخل مع زميل في الفرع",""))</f>
        <v/>
      </c>
    </row>
    <row r="47">
      <c r="A47" s="4" t="n"/>
      <c r="B47" s="8">
        <f>IF($A47="","",IFERROR(INDEX(StaffBranch,MATCH($A47,Staff,0)),""))</f>
        <v/>
      </c>
      <c r="C47" s="4" t="n"/>
      <c r="D47" s="12" t="n"/>
      <c r="E47" s="12" t="n"/>
      <c r="F47" s="28">
        <f>IF(OR($D47="",$E47=""),"",_xlfn.NETWORKDAYS.INTL($D47,$E47,Weekend))</f>
        <v/>
      </c>
      <c r="G47" s="4" t="n"/>
      <c r="H47" s="4" t="n"/>
      <c r="I47" s="8">
        <f>IF(OR($A47="",$H47='الإعدادات'!$Q$10),"",IF(COUNTIFS($B$3:$B$302,$B47,$D$3:$D$302,"&lt;="&amp;$E47,$E$3:$E$302,"&gt;="&amp;$D47,$H$3:$H$302,"&lt;&gt;"&amp;'الإعدادات'!$Q$10)&gt;1,"يتداخل مع زميل في الفرع",""))</f>
        <v/>
      </c>
    </row>
    <row r="48">
      <c r="A48" s="4" t="n"/>
      <c r="B48" s="8">
        <f>IF($A48="","",IFERROR(INDEX(StaffBranch,MATCH($A48,Staff,0)),""))</f>
        <v/>
      </c>
      <c r="C48" s="4" t="n"/>
      <c r="D48" s="12" t="n"/>
      <c r="E48" s="12" t="n"/>
      <c r="F48" s="28">
        <f>IF(OR($D48="",$E48=""),"",_xlfn.NETWORKDAYS.INTL($D48,$E48,Weekend))</f>
        <v/>
      </c>
      <c r="G48" s="4" t="n"/>
      <c r="H48" s="4" t="n"/>
      <c r="I48" s="8">
        <f>IF(OR($A48="",$H48='الإعدادات'!$Q$10),"",IF(COUNTIFS($B$3:$B$302,$B48,$D$3:$D$302,"&lt;="&amp;$E48,$E$3:$E$302,"&gt;="&amp;$D48,$H$3:$H$302,"&lt;&gt;"&amp;'الإعدادات'!$Q$10)&gt;1,"يتداخل مع زميل في الفرع",""))</f>
        <v/>
      </c>
    </row>
    <row r="49">
      <c r="A49" s="4" t="n"/>
      <c r="B49" s="8">
        <f>IF($A49="","",IFERROR(INDEX(StaffBranch,MATCH($A49,Staff,0)),""))</f>
        <v/>
      </c>
      <c r="C49" s="4" t="n"/>
      <c r="D49" s="12" t="n"/>
      <c r="E49" s="12" t="n"/>
      <c r="F49" s="28">
        <f>IF(OR($D49="",$E49=""),"",_xlfn.NETWORKDAYS.INTL($D49,$E49,Weekend))</f>
        <v/>
      </c>
      <c r="G49" s="4" t="n"/>
      <c r="H49" s="4" t="n"/>
      <c r="I49" s="8">
        <f>IF(OR($A49="",$H49='الإعدادات'!$Q$10),"",IF(COUNTIFS($B$3:$B$302,$B49,$D$3:$D$302,"&lt;="&amp;$E49,$E$3:$E$302,"&gt;="&amp;$D49,$H$3:$H$302,"&lt;&gt;"&amp;'الإعدادات'!$Q$10)&gt;1,"يتداخل مع زميل في الفرع",""))</f>
        <v/>
      </c>
    </row>
    <row r="50">
      <c r="A50" s="4" t="n"/>
      <c r="B50" s="8">
        <f>IF($A50="","",IFERROR(INDEX(StaffBranch,MATCH($A50,Staff,0)),""))</f>
        <v/>
      </c>
      <c r="C50" s="4" t="n"/>
      <c r="D50" s="12" t="n"/>
      <c r="E50" s="12" t="n"/>
      <c r="F50" s="28">
        <f>IF(OR($D50="",$E50=""),"",_xlfn.NETWORKDAYS.INTL($D50,$E50,Weekend))</f>
        <v/>
      </c>
      <c r="G50" s="4" t="n"/>
      <c r="H50" s="4" t="n"/>
      <c r="I50" s="8">
        <f>IF(OR($A50="",$H50='الإعدادات'!$Q$10),"",IF(COUNTIFS($B$3:$B$302,$B50,$D$3:$D$302,"&lt;="&amp;$E50,$E$3:$E$302,"&gt;="&amp;$D50,$H$3:$H$302,"&lt;&gt;"&amp;'الإعدادات'!$Q$10)&gt;1,"يتداخل مع زميل في الفرع",""))</f>
        <v/>
      </c>
    </row>
    <row r="51">
      <c r="A51" s="4" t="n"/>
      <c r="B51" s="8">
        <f>IF($A51="","",IFERROR(INDEX(StaffBranch,MATCH($A51,Staff,0)),""))</f>
        <v/>
      </c>
      <c r="C51" s="4" t="n"/>
      <c r="D51" s="12" t="n"/>
      <c r="E51" s="12" t="n"/>
      <c r="F51" s="28">
        <f>IF(OR($D51="",$E51=""),"",_xlfn.NETWORKDAYS.INTL($D51,$E51,Weekend))</f>
        <v/>
      </c>
      <c r="G51" s="4" t="n"/>
      <c r="H51" s="4" t="n"/>
      <c r="I51" s="8">
        <f>IF(OR($A51="",$H51='الإعدادات'!$Q$10),"",IF(COUNTIFS($B$3:$B$302,$B51,$D$3:$D$302,"&lt;="&amp;$E51,$E$3:$E$302,"&gt;="&amp;$D51,$H$3:$H$302,"&lt;&gt;"&amp;'الإعدادات'!$Q$10)&gt;1,"يتداخل مع زميل في الفرع",""))</f>
        <v/>
      </c>
    </row>
    <row r="52">
      <c r="A52" s="4" t="n"/>
      <c r="B52" s="8">
        <f>IF($A52="","",IFERROR(INDEX(StaffBranch,MATCH($A52,Staff,0)),""))</f>
        <v/>
      </c>
      <c r="C52" s="4" t="n"/>
      <c r="D52" s="12" t="n"/>
      <c r="E52" s="12" t="n"/>
      <c r="F52" s="28">
        <f>IF(OR($D52="",$E52=""),"",_xlfn.NETWORKDAYS.INTL($D52,$E52,Weekend))</f>
        <v/>
      </c>
      <c r="G52" s="4" t="n"/>
      <c r="H52" s="4" t="n"/>
      <c r="I52" s="8">
        <f>IF(OR($A52="",$H52='الإعدادات'!$Q$10),"",IF(COUNTIFS($B$3:$B$302,$B52,$D$3:$D$302,"&lt;="&amp;$E52,$E$3:$E$302,"&gt;="&amp;$D52,$H$3:$H$302,"&lt;&gt;"&amp;'الإعدادات'!$Q$10)&gt;1,"يتداخل مع زميل في الفرع",""))</f>
        <v/>
      </c>
    </row>
    <row r="53">
      <c r="A53" s="4" t="n"/>
      <c r="B53" s="8">
        <f>IF($A53="","",IFERROR(INDEX(StaffBranch,MATCH($A53,Staff,0)),""))</f>
        <v/>
      </c>
      <c r="C53" s="4" t="n"/>
      <c r="D53" s="12" t="n"/>
      <c r="E53" s="12" t="n"/>
      <c r="F53" s="28">
        <f>IF(OR($D53="",$E53=""),"",_xlfn.NETWORKDAYS.INTL($D53,$E53,Weekend))</f>
        <v/>
      </c>
      <c r="G53" s="4" t="n"/>
      <c r="H53" s="4" t="n"/>
      <c r="I53" s="8">
        <f>IF(OR($A53="",$H53='الإعدادات'!$Q$10),"",IF(COUNTIFS($B$3:$B$302,$B53,$D$3:$D$302,"&lt;="&amp;$E53,$E$3:$E$302,"&gt;="&amp;$D53,$H$3:$H$302,"&lt;&gt;"&amp;'الإعدادات'!$Q$10)&gt;1,"يتداخل مع زميل في الفرع",""))</f>
        <v/>
      </c>
    </row>
    <row r="54">
      <c r="A54" s="4" t="n"/>
      <c r="B54" s="8">
        <f>IF($A54="","",IFERROR(INDEX(StaffBranch,MATCH($A54,Staff,0)),""))</f>
        <v/>
      </c>
      <c r="C54" s="4" t="n"/>
      <c r="D54" s="12" t="n"/>
      <c r="E54" s="12" t="n"/>
      <c r="F54" s="28">
        <f>IF(OR($D54="",$E54=""),"",_xlfn.NETWORKDAYS.INTL($D54,$E54,Weekend))</f>
        <v/>
      </c>
      <c r="G54" s="4" t="n"/>
      <c r="H54" s="4" t="n"/>
      <c r="I54" s="8">
        <f>IF(OR($A54="",$H54='الإعدادات'!$Q$10),"",IF(COUNTIFS($B$3:$B$302,$B54,$D$3:$D$302,"&lt;="&amp;$E54,$E$3:$E$302,"&gt;="&amp;$D54,$H$3:$H$302,"&lt;&gt;"&amp;'الإعدادات'!$Q$10)&gt;1,"يتداخل مع زميل في الفرع",""))</f>
        <v/>
      </c>
    </row>
    <row r="55">
      <c r="A55" s="4" t="n"/>
      <c r="B55" s="8">
        <f>IF($A55="","",IFERROR(INDEX(StaffBranch,MATCH($A55,Staff,0)),""))</f>
        <v/>
      </c>
      <c r="C55" s="4" t="n"/>
      <c r="D55" s="12" t="n"/>
      <c r="E55" s="12" t="n"/>
      <c r="F55" s="28">
        <f>IF(OR($D55="",$E55=""),"",_xlfn.NETWORKDAYS.INTL($D55,$E55,Weekend))</f>
        <v/>
      </c>
      <c r="G55" s="4" t="n"/>
      <c r="H55" s="4" t="n"/>
      <c r="I55" s="8">
        <f>IF(OR($A55="",$H55='الإعدادات'!$Q$10),"",IF(COUNTIFS($B$3:$B$302,$B55,$D$3:$D$302,"&lt;="&amp;$E55,$E$3:$E$302,"&gt;="&amp;$D55,$H$3:$H$302,"&lt;&gt;"&amp;'الإعدادات'!$Q$10)&gt;1,"يتداخل مع زميل في الفرع",""))</f>
        <v/>
      </c>
    </row>
    <row r="56">
      <c r="A56" s="4" t="n"/>
      <c r="B56" s="8">
        <f>IF($A56="","",IFERROR(INDEX(StaffBranch,MATCH($A56,Staff,0)),""))</f>
        <v/>
      </c>
      <c r="C56" s="4" t="n"/>
      <c r="D56" s="12" t="n"/>
      <c r="E56" s="12" t="n"/>
      <c r="F56" s="28">
        <f>IF(OR($D56="",$E56=""),"",_xlfn.NETWORKDAYS.INTL($D56,$E56,Weekend))</f>
        <v/>
      </c>
      <c r="G56" s="4" t="n"/>
      <c r="H56" s="4" t="n"/>
      <c r="I56" s="8">
        <f>IF(OR($A56="",$H56='الإعدادات'!$Q$10),"",IF(COUNTIFS($B$3:$B$302,$B56,$D$3:$D$302,"&lt;="&amp;$E56,$E$3:$E$302,"&gt;="&amp;$D56,$H$3:$H$302,"&lt;&gt;"&amp;'الإعدادات'!$Q$10)&gt;1,"يتداخل مع زميل في الفرع",""))</f>
        <v/>
      </c>
    </row>
    <row r="57">
      <c r="A57" s="4" t="n"/>
      <c r="B57" s="8">
        <f>IF($A57="","",IFERROR(INDEX(StaffBranch,MATCH($A57,Staff,0)),""))</f>
        <v/>
      </c>
      <c r="C57" s="4" t="n"/>
      <c r="D57" s="12" t="n"/>
      <c r="E57" s="12" t="n"/>
      <c r="F57" s="28">
        <f>IF(OR($D57="",$E57=""),"",_xlfn.NETWORKDAYS.INTL($D57,$E57,Weekend))</f>
        <v/>
      </c>
      <c r="G57" s="4" t="n"/>
      <c r="H57" s="4" t="n"/>
      <c r="I57" s="8">
        <f>IF(OR($A57="",$H57='الإعدادات'!$Q$10),"",IF(COUNTIFS($B$3:$B$302,$B57,$D$3:$D$302,"&lt;="&amp;$E57,$E$3:$E$302,"&gt;="&amp;$D57,$H$3:$H$302,"&lt;&gt;"&amp;'الإعدادات'!$Q$10)&gt;1,"يتداخل مع زميل في الفرع",""))</f>
        <v/>
      </c>
    </row>
    <row r="58">
      <c r="A58" s="4" t="n"/>
      <c r="B58" s="8">
        <f>IF($A58="","",IFERROR(INDEX(StaffBranch,MATCH($A58,Staff,0)),""))</f>
        <v/>
      </c>
      <c r="C58" s="4" t="n"/>
      <c r="D58" s="12" t="n"/>
      <c r="E58" s="12" t="n"/>
      <c r="F58" s="28">
        <f>IF(OR($D58="",$E58=""),"",_xlfn.NETWORKDAYS.INTL($D58,$E58,Weekend))</f>
        <v/>
      </c>
      <c r="G58" s="4" t="n"/>
      <c r="H58" s="4" t="n"/>
      <c r="I58" s="8">
        <f>IF(OR($A58="",$H58='الإعدادات'!$Q$10),"",IF(COUNTIFS($B$3:$B$302,$B58,$D$3:$D$302,"&lt;="&amp;$E58,$E$3:$E$302,"&gt;="&amp;$D58,$H$3:$H$302,"&lt;&gt;"&amp;'الإعدادات'!$Q$10)&gt;1,"يتداخل مع زميل في الفرع",""))</f>
        <v/>
      </c>
    </row>
    <row r="59">
      <c r="A59" s="4" t="n"/>
      <c r="B59" s="8">
        <f>IF($A59="","",IFERROR(INDEX(StaffBranch,MATCH($A59,Staff,0)),""))</f>
        <v/>
      </c>
      <c r="C59" s="4" t="n"/>
      <c r="D59" s="12" t="n"/>
      <c r="E59" s="12" t="n"/>
      <c r="F59" s="28">
        <f>IF(OR($D59="",$E59=""),"",_xlfn.NETWORKDAYS.INTL($D59,$E59,Weekend))</f>
        <v/>
      </c>
      <c r="G59" s="4" t="n"/>
      <c r="H59" s="4" t="n"/>
      <c r="I59" s="8">
        <f>IF(OR($A59="",$H59='الإعدادات'!$Q$10),"",IF(COUNTIFS($B$3:$B$302,$B59,$D$3:$D$302,"&lt;="&amp;$E59,$E$3:$E$302,"&gt;="&amp;$D59,$H$3:$H$302,"&lt;&gt;"&amp;'الإعدادات'!$Q$10)&gt;1,"يتداخل مع زميل في الفرع",""))</f>
        <v/>
      </c>
    </row>
    <row r="60">
      <c r="A60" s="4" t="n"/>
      <c r="B60" s="8">
        <f>IF($A60="","",IFERROR(INDEX(StaffBranch,MATCH($A60,Staff,0)),""))</f>
        <v/>
      </c>
      <c r="C60" s="4" t="n"/>
      <c r="D60" s="12" t="n"/>
      <c r="E60" s="12" t="n"/>
      <c r="F60" s="28">
        <f>IF(OR($D60="",$E60=""),"",_xlfn.NETWORKDAYS.INTL($D60,$E60,Weekend))</f>
        <v/>
      </c>
      <c r="G60" s="4" t="n"/>
      <c r="H60" s="4" t="n"/>
      <c r="I60" s="8">
        <f>IF(OR($A60="",$H60='الإعدادات'!$Q$10),"",IF(COUNTIFS($B$3:$B$302,$B60,$D$3:$D$302,"&lt;="&amp;$E60,$E$3:$E$302,"&gt;="&amp;$D60,$H$3:$H$302,"&lt;&gt;"&amp;'الإعدادات'!$Q$10)&gt;1,"يتداخل مع زميل في الفرع",""))</f>
        <v/>
      </c>
    </row>
    <row r="61">
      <c r="A61" s="4" t="n"/>
      <c r="B61" s="8">
        <f>IF($A61="","",IFERROR(INDEX(StaffBranch,MATCH($A61,Staff,0)),""))</f>
        <v/>
      </c>
      <c r="C61" s="4" t="n"/>
      <c r="D61" s="12" t="n"/>
      <c r="E61" s="12" t="n"/>
      <c r="F61" s="28">
        <f>IF(OR($D61="",$E61=""),"",_xlfn.NETWORKDAYS.INTL($D61,$E61,Weekend))</f>
        <v/>
      </c>
      <c r="G61" s="4" t="n"/>
      <c r="H61" s="4" t="n"/>
      <c r="I61" s="8">
        <f>IF(OR($A61="",$H61='الإعدادات'!$Q$10),"",IF(COUNTIFS($B$3:$B$302,$B61,$D$3:$D$302,"&lt;="&amp;$E61,$E$3:$E$302,"&gt;="&amp;$D61,$H$3:$H$302,"&lt;&gt;"&amp;'الإعدادات'!$Q$10)&gt;1,"يتداخل مع زميل في الفرع",""))</f>
        <v/>
      </c>
    </row>
    <row r="62">
      <c r="A62" s="4" t="n"/>
      <c r="B62" s="8">
        <f>IF($A62="","",IFERROR(INDEX(StaffBranch,MATCH($A62,Staff,0)),""))</f>
        <v/>
      </c>
      <c r="C62" s="4" t="n"/>
      <c r="D62" s="12" t="n"/>
      <c r="E62" s="12" t="n"/>
      <c r="F62" s="28">
        <f>IF(OR($D62="",$E62=""),"",_xlfn.NETWORKDAYS.INTL($D62,$E62,Weekend))</f>
        <v/>
      </c>
      <c r="G62" s="4" t="n"/>
      <c r="H62" s="4" t="n"/>
      <c r="I62" s="8">
        <f>IF(OR($A62="",$H62='الإعدادات'!$Q$10),"",IF(COUNTIFS($B$3:$B$302,$B62,$D$3:$D$302,"&lt;="&amp;$E62,$E$3:$E$302,"&gt;="&amp;$D62,$H$3:$H$302,"&lt;&gt;"&amp;'الإعدادات'!$Q$10)&gt;1,"يتداخل مع زميل في الفرع",""))</f>
        <v/>
      </c>
    </row>
    <row r="63">
      <c r="A63" s="4" t="n"/>
      <c r="B63" s="8">
        <f>IF($A63="","",IFERROR(INDEX(StaffBranch,MATCH($A63,Staff,0)),""))</f>
        <v/>
      </c>
      <c r="C63" s="4" t="n"/>
      <c r="D63" s="12" t="n"/>
      <c r="E63" s="12" t="n"/>
      <c r="F63" s="28">
        <f>IF(OR($D63="",$E63=""),"",_xlfn.NETWORKDAYS.INTL($D63,$E63,Weekend))</f>
        <v/>
      </c>
      <c r="G63" s="4" t="n"/>
      <c r="H63" s="4" t="n"/>
      <c r="I63" s="8">
        <f>IF(OR($A63="",$H63='الإعدادات'!$Q$10),"",IF(COUNTIFS($B$3:$B$302,$B63,$D$3:$D$302,"&lt;="&amp;$E63,$E$3:$E$302,"&gt;="&amp;$D63,$H$3:$H$302,"&lt;&gt;"&amp;'الإعدادات'!$Q$10)&gt;1,"يتداخل مع زميل في الفرع",""))</f>
        <v/>
      </c>
    </row>
    <row r="64">
      <c r="A64" s="4" t="n"/>
      <c r="B64" s="8">
        <f>IF($A64="","",IFERROR(INDEX(StaffBranch,MATCH($A64,Staff,0)),""))</f>
        <v/>
      </c>
      <c r="C64" s="4" t="n"/>
      <c r="D64" s="12" t="n"/>
      <c r="E64" s="12" t="n"/>
      <c r="F64" s="28">
        <f>IF(OR($D64="",$E64=""),"",_xlfn.NETWORKDAYS.INTL($D64,$E64,Weekend))</f>
        <v/>
      </c>
      <c r="G64" s="4" t="n"/>
      <c r="H64" s="4" t="n"/>
      <c r="I64" s="8">
        <f>IF(OR($A64="",$H64='الإعدادات'!$Q$10),"",IF(COUNTIFS($B$3:$B$302,$B64,$D$3:$D$302,"&lt;="&amp;$E64,$E$3:$E$302,"&gt;="&amp;$D64,$H$3:$H$302,"&lt;&gt;"&amp;'الإعدادات'!$Q$10)&gt;1,"يتداخل مع زميل في الفرع",""))</f>
        <v/>
      </c>
    </row>
    <row r="65">
      <c r="A65" s="4" t="n"/>
      <c r="B65" s="8">
        <f>IF($A65="","",IFERROR(INDEX(StaffBranch,MATCH($A65,Staff,0)),""))</f>
        <v/>
      </c>
      <c r="C65" s="4" t="n"/>
      <c r="D65" s="12" t="n"/>
      <c r="E65" s="12" t="n"/>
      <c r="F65" s="28">
        <f>IF(OR($D65="",$E65=""),"",_xlfn.NETWORKDAYS.INTL($D65,$E65,Weekend))</f>
        <v/>
      </c>
      <c r="G65" s="4" t="n"/>
      <c r="H65" s="4" t="n"/>
      <c r="I65" s="8">
        <f>IF(OR($A65="",$H65='الإعدادات'!$Q$10),"",IF(COUNTIFS($B$3:$B$302,$B65,$D$3:$D$302,"&lt;="&amp;$E65,$E$3:$E$302,"&gt;="&amp;$D65,$H$3:$H$302,"&lt;&gt;"&amp;'الإعدادات'!$Q$10)&gt;1,"يتداخل مع زميل في الفرع",""))</f>
        <v/>
      </c>
    </row>
    <row r="66">
      <c r="A66" s="4" t="n"/>
      <c r="B66" s="8">
        <f>IF($A66="","",IFERROR(INDEX(StaffBranch,MATCH($A66,Staff,0)),""))</f>
        <v/>
      </c>
      <c r="C66" s="4" t="n"/>
      <c r="D66" s="12" t="n"/>
      <c r="E66" s="12" t="n"/>
      <c r="F66" s="28">
        <f>IF(OR($D66="",$E66=""),"",_xlfn.NETWORKDAYS.INTL($D66,$E66,Weekend))</f>
        <v/>
      </c>
      <c r="G66" s="4" t="n"/>
      <c r="H66" s="4" t="n"/>
      <c r="I66" s="8">
        <f>IF(OR($A66="",$H66='الإعدادات'!$Q$10),"",IF(COUNTIFS($B$3:$B$302,$B66,$D$3:$D$302,"&lt;="&amp;$E66,$E$3:$E$302,"&gt;="&amp;$D66,$H$3:$H$302,"&lt;&gt;"&amp;'الإعدادات'!$Q$10)&gt;1,"يتداخل مع زميل في الفرع",""))</f>
        <v/>
      </c>
    </row>
    <row r="67">
      <c r="A67" s="4" t="n"/>
      <c r="B67" s="8">
        <f>IF($A67="","",IFERROR(INDEX(StaffBranch,MATCH($A67,Staff,0)),""))</f>
        <v/>
      </c>
      <c r="C67" s="4" t="n"/>
      <c r="D67" s="12" t="n"/>
      <c r="E67" s="12" t="n"/>
      <c r="F67" s="28">
        <f>IF(OR($D67="",$E67=""),"",_xlfn.NETWORKDAYS.INTL($D67,$E67,Weekend))</f>
        <v/>
      </c>
      <c r="G67" s="4" t="n"/>
      <c r="H67" s="4" t="n"/>
      <c r="I67" s="8">
        <f>IF(OR($A67="",$H67='الإعدادات'!$Q$10),"",IF(COUNTIFS($B$3:$B$302,$B67,$D$3:$D$302,"&lt;="&amp;$E67,$E$3:$E$302,"&gt;="&amp;$D67,$H$3:$H$302,"&lt;&gt;"&amp;'الإعدادات'!$Q$10)&gt;1,"يتداخل مع زميل في الفرع",""))</f>
        <v/>
      </c>
    </row>
    <row r="68">
      <c r="A68" s="4" t="n"/>
      <c r="B68" s="8">
        <f>IF($A68="","",IFERROR(INDEX(StaffBranch,MATCH($A68,Staff,0)),""))</f>
        <v/>
      </c>
      <c r="C68" s="4" t="n"/>
      <c r="D68" s="12" t="n"/>
      <c r="E68" s="12" t="n"/>
      <c r="F68" s="28">
        <f>IF(OR($D68="",$E68=""),"",_xlfn.NETWORKDAYS.INTL($D68,$E68,Weekend))</f>
        <v/>
      </c>
      <c r="G68" s="4" t="n"/>
      <c r="H68" s="4" t="n"/>
      <c r="I68" s="8">
        <f>IF(OR($A68="",$H68='الإعدادات'!$Q$10),"",IF(COUNTIFS($B$3:$B$302,$B68,$D$3:$D$302,"&lt;="&amp;$E68,$E$3:$E$302,"&gt;="&amp;$D68,$H$3:$H$302,"&lt;&gt;"&amp;'الإعدادات'!$Q$10)&gt;1,"يتداخل مع زميل في الفرع",""))</f>
        <v/>
      </c>
    </row>
    <row r="69">
      <c r="A69" s="4" t="n"/>
      <c r="B69" s="8">
        <f>IF($A69="","",IFERROR(INDEX(StaffBranch,MATCH($A69,Staff,0)),""))</f>
        <v/>
      </c>
      <c r="C69" s="4" t="n"/>
      <c r="D69" s="12" t="n"/>
      <c r="E69" s="12" t="n"/>
      <c r="F69" s="28">
        <f>IF(OR($D69="",$E69=""),"",_xlfn.NETWORKDAYS.INTL($D69,$E69,Weekend))</f>
        <v/>
      </c>
      <c r="G69" s="4" t="n"/>
      <c r="H69" s="4" t="n"/>
      <c r="I69" s="8">
        <f>IF(OR($A69="",$H69='الإعدادات'!$Q$10),"",IF(COUNTIFS($B$3:$B$302,$B69,$D$3:$D$302,"&lt;="&amp;$E69,$E$3:$E$302,"&gt;="&amp;$D69,$H$3:$H$302,"&lt;&gt;"&amp;'الإعدادات'!$Q$10)&gt;1,"يتداخل مع زميل في الفرع",""))</f>
        <v/>
      </c>
    </row>
    <row r="70">
      <c r="A70" s="4" t="n"/>
      <c r="B70" s="8">
        <f>IF($A70="","",IFERROR(INDEX(StaffBranch,MATCH($A70,Staff,0)),""))</f>
        <v/>
      </c>
      <c r="C70" s="4" t="n"/>
      <c r="D70" s="12" t="n"/>
      <c r="E70" s="12" t="n"/>
      <c r="F70" s="28">
        <f>IF(OR($D70="",$E70=""),"",_xlfn.NETWORKDAYS.INTL($D70,$E70,Weekend))</f>
        <v/>
      </c>
      <c r="G70" s="4" t="n"/>
      <c r="H70" s="4" t="n"/>
      <c r="I70" s="8">
        <f>IF(OR($A70="",$H70='الإعدادات'!$Q$10),"",IF(COUNTIFS($B$3:$B$302,$B70,$D$3:$D$302,"&lt;="&amp;$E70,$E$3:$E$302,"&gt;="&amp;$D70,$H$3:$H$302,"&lt;&gt;"&amp;'الإعدادات'!$Q$10)&gt;1,"يتداخل مع زميل في الفرع",""))</f>
        <v/>
      </c>
    </row>
    <row r="71">
      <c r="A71" s="4" t="n"/>
      <c r="B71" s="8">
        <f>IF($A71="","",IFERROR(INDEX(StaffBranch,MATCH($A71,Staff,0)),""))</f>
        <v/>
      </c>
      <c r="C71" s="4" t="n"/>
      <c r="D71" s="12" t="n"/>
      <c r="E71" s="12" t="n"/>
      <c r="F71" s="28">
        <f>IF(OR($D71="",$E71=""),"",_xlfn.NETWORKDAYS.INTL($D71,$E71,Weekend))</f>
        <v/>
      </c>
      <c r="G71" s="4" t="n"/>
      <c r="H71" s="4" t="n"/>
      <c r="I71" s="8">
        <f>IF(OR($A71="",$H71='الإعدادات'!$Q$10),"",IF(COUNTIFS($B$3:$B$302,$B71,$D$3:$D$302,"&lt;="&amp;$E71,$E$3:$E$302,"&gt;="&amp;$D71,$H$3:$H$302,"&lt;&gt;"&amp;'الإعدادات'!$Q$10)&gt;1,"يتداخل مع زميل في الفرع",""))</f>
        <v/>
      </c>
    </row>
    <row r="72">
      <c r="A72" s="4" t="n"/>
      <c r="B72" s="8">
        <f>IF($A72="","",IFERROR(INDEX(StaffBranch,MATCH($A72,Staff,0)),""))</f>
        <v/>
      </c>
      <c r="C72" s="4" t="n"/>
      <c r="D72" s="12" t="n"/>
      <c r="E72" s="12" t="n"/>
      <c r="F72" s="28">
        <f>IF(OR($D72="",$E72=""),"",_xlfn.NETWORKDAYS.INTL($D72,$E72,Weekend))</f>
        <v/>
      </c>
      <c r="G72" s="4" t="n"/>
      <c r="H72" s="4" t="n"/>
      <c r="I72" s="8">
        <f>IF(OR($A72="",$H72='الإعدادات'!$Q$10),"",IF(COUNTIFS($B$3:$B$302,$B72,$D$3:$D$302,"&lt;="&amp;$E72,$E$3:$E$302,"&gt;="&amp;$D72,$H$3:$H$302,"&lt;&gt;"&amp;'الإعدادات'!$Q$10)&gt;1,"يتداخل مع زميل في الفرع",""))</f>
        <v/>
      </c>
    </row>
    <row r="73">
      <c r="A73" s="4" t="n"/>
      <c r="B73" s="8">
        <f>IF($A73="","",IFERROR(INDEX(StaffBranch,MATCH($A73,Staff,0)),""))</f>
        <v/>
      </c>
      <c r="C73" s="4" t="n"/>
      <c r="D73" s="12" t="n"/>
      <c r="E73" s="12" t="n"/>
      <c r="F73" s="28">
        <f>IF(OR($D73="",$E73=""),"",_xlfn.NETWORKDAYS.INTL($D73,$E73,Weekend))</f>
        <v/>
      </c>
      <c r="G73" s="4" t="n"/>
      <c r="H73" s="4" t="n"/>
      <c r="I73" s="8">
        <f>IF(OR($A73="",$H73='الإعدادات'!$Q$10),"",IF(COUNTIFS($B$3:$B$302,$B73,$D$3:$D$302,"&lt;="&amp;$E73,$E$3:$E$302,"&gt;="&amp;$D73,$H$3:$H$302,"&lt;&gt;"&amp;'الإعدادات'!$Q$10)&gt;1,"يتداخل مع زميل في الفرع",""))</f>
        <v/>
      </c>
    </row>
    <row r="74">
      <c r="A74" s="4" t="n"/>
      <c r="B74" s="8">
        <f>IF($A74="","",IFERROR(INDEX(StaffBranch,MATCH($A74,Staff,0)),""))</f>
        <v/>
      </c>
      <c r="C74" s="4" t="n"/>
      <c r="D74" s="12" t="n"/>
      <c r="E74" s="12" t="n"/>
      <c r="F74" s="28">
        <f>IF(OR($D74="",$E74=""),"",_xlfn.NETWORKDAYS.INTL($D74,$E74,Weekend))</f>
        <v/>
      </c>
      <c r="G74" s="4" t="n"/>
      <c r="H74" s="4" t="n"/>
      <c r="I74" s="8">
        <f>IF(OR($A74="",$H74='الإعدادات'!$Q$10),"",IF(COUNTIFS($B$3:$B$302,$B74,$D$3:$D$302,"&lt;="&amp;$E74,$E$3:$E$302,"&gt;="&amp;$D74,$H$3:$H$302,"&lt;&gt;"&amp;'الإعدادات'!$Q$10)&gt;1,"يتداخل مع زميل في الفرع",""))</f>
        <v/>
      </c>
    </row>
    <row r="75">
      <c r="A75" s="4" t="n"/>
      <c r="B75" s="8">
        <f>IF($A75="","",IFERROR(INDEX(StaffBranch,MATCH($A75,Staff,0)),""))</f>
        <v/>
      </c>
      <c r="C75" s="4" t="n"/>
      <c r="D75" s="12" t="n"/>
      <c r="E75" s="12" t="n"/>
      <c r="F75" s="28">
        <f>IF(OR($D75="",$E75=""),"",_xlfn.NETWORKDAYS.INTL($D75,$E75,Weekend))</f>
        <v/>
      </c>
      <c r="G75" s="4" t="n"/>
      <c r="H75" s="4" t="n"/>
      <c r="I75" s="8">
        <f>IF(OR($A75="",$H75='الإعدادات'!$Q$10),"",IF(COUNTIFS($B$3:$B$302,$B75,$D$3:$D$302,"&lt;="&amp;$E75,$E$3:$E$302,"&gt;="&amp;$D75,$H$3:$H$302,"&lt;&gt;"&amp;'الإعدادات'!$Q$10)&gt;1,"يتداخل مع زميل في الفرع",""))</f>
        <v/>
      </c>
    </row>
    <row r="76">
      <c r="A76" s="4" t="n"/>
      <c r="B76" s="8">
        <f>IF($A76="","",IFERROR(INDEX(StaffBranch,MATCH($A76,Staff,0)),""))</f>
        <v/>
      </c>
      <c r="C76" s="4" t="n"/>
      <c r="D76" s="12" t="n"/>
      <c r="E76" s="12" t="n"/>
      <c r="F76" s="28">
        <f>IF(OR($D76="",$E76=""),"",_xlfn.NETWORKDAYS.INTL($D76,$E76,Weekend))</f>
        <v/>
      </c>
      <c r="G76" s="4" t="n"/>
      <c r="H76" s="4" t="n"/>
      <c r="I76" s="8">
        <f>IF(OR($A76="",$H76='الإعدادات'!$Q$10),"",IF(COUNTIFS($B$3:$B$302,$B76,$D$3:$D$302,"&lt;="&amp;$E76,$E$3:$E$302,"&gt;="&amp;$D76,$H$3:$H$302,"&lt;&gt;"&amp;'الإعدادات'!$Q$10)&gt;1,"يتداخل مع زميل في الفرع",""))</f>
        <v/>
      </c>
    </row>
    <row r="77">
      <c r="A77" s="4" t="n"/>
      <c r="B77" s="8">
        <f>IF($A77="","",IFERROR(INDEX(StaffBranch,MATCH($A77,Staff,0)),""))</f>
        <v/>
      </c>
      <c r="C77" s="4" t="n"/>
      <c r="D77" s="12" t="n"/>
      <c r="E77" s="12" t="n"/>
      <c r="F77" s="28">
        <f>IF(OR($D77="",$E77=""),"",_xlfn.NETWORKDAYS.INTL($D77,$E77,Weekend))</f>
        <v/>
      </c>
      <c r="G77" s="4" t="n"/>
      <c r="H77" s="4" t="n"/>
      <c r="I77" s="8">
        <f>IF(OR($A77="",$H77='الإعدادات'!$Q$10),"",IF(COUNTIFS($B$3:$B$302,$B77,$D$3:$D$302,"&lt;="&amp;$E77,$E$3:$E$302,"&gt;="&amp;$D77,$H$3:$H$302,"&lt;&gt;"&amp;'الإعدادات'!$Q$10)&gt;1,"يتداخل مع زميل في الفرع",""))</f>
        <v/>
      </c>
    </row>
    <row r="78">
      <c r="A78" s="4" t="n"/>
      <c r="B78" s="8">
        <f>IF($A78="","",IFERROR(INDEX(StaffBranch,MATCH($A78,Staff,0)),""))</f>
        <v/>
      </c>
      <c r="C78" s="4" t="n"/>
      <c r="D78" s="12" t="n"/>
      <c r="E78" s="12" t="n"/>
      <c r="F78" s="28">
        <f>IF(OR($D78="",$E78=""),"",_xlfn.NETWORKDAYS.INTL($D78,$E78,Weekend))</f>
        <v/>
      </c>
      <c r="G78" s="4" t="n"/>
      <c r="H78" s="4" t="n"/>
      <c r="I78" s="8">
        <f>IF(OR($A78="",$H78='الإعدادات'!$Q$10),"",IF(COUNTIFS($B$3:$B$302,$B78,$D$3:$D$302,"&lt;="&amp;$E78,$E$3:$E$302,"&gt;="&amp;$D78,$H$3:$H$302,"&lt;&gt;"&amp;'الإعدادات'!$Q$10)&gt;1,"يتداخل مع زميل في الفرع",""))</f>
        <v/>
      </c>
    </row>
    <row r="79">
      <c r="A79" s="4" t="n"/>
      <c r="B79" s="8">
        <f>IF($A79="","",IFERROR(INDEX(StaffBranch,MATCH($A79,Staff,0)),""))</f>
        <v/>
      </c>
      <c r="C79" s="4" t="n"/>
      <c r="D79" s="12" t="n"/>
      <c r="E79" s="12" t="n"/>
      <c r="F79" s="28">
        <f>IF(OR($D79="",$E79=""),"",_xlfn.NETWORKDAYS.INTL($D79,$E79,Weekend))</f>
        <v/>
      </c>
      <c r="G79" s="4" t="n"/>
      <c r="H79" s="4" t="n"/>
      <c r="I79" s="8">
        <f>IF(OR($A79="",$H79='الإعدادات'!$Q$10),"",IF(COUNTIFS($B$3:$B$302,$B79,$D$3:$D$302,"&lt;="&amp;$E79,$E$3:$E$302,"&gt;="&amp;$D79,$H$3:$H$302,"&lt;&gt;"&amp;'الإعدادات'!$Q$10)&gt;1,"يتداخل مع زميل في الفرع",""))</f>
        <v/>
      </c>
    </row>
    <row r="80">
      <c r="A80" s="4" t="n"/>
      <c r="B80" s="8">
        <f>IF($A80="","",IFERROR(INDEX(StaffBranch,MATCH($A80,Staff,0)),""))</f>
        <v/>
      </c>
      <c r="C80" s="4" t="n"/>
      <c r="D80" s="12" t="n"/>
      <c r="E80" s="12" t="n"/>
      <c r="F80" s="28">
        <f>IF(OR($D80="",$E80=""),"",_xlfn.NETWORKDAYS.INTL($D80,$E80,Weekend))</f>
        <v/>
      </c>
      <c r="G80" s="4" t="n"/>
      <c r="H80" s="4" t="n"/>
      <c r="I80" s="8">
        <f>IF(OR($A80="",$H80='الإعدادات'!$Q$10),"",IF(COUNTIFS($B$3:$B$302,$B80,$D$3:$D$302,"&lt;="&amp;$E80,$E$3:$E$302,"&gt;="&amp;$D80,$H$3:$H$302,"&lt;&gt;"&amp;'الإعدادات'!$Q$10)&gt;1,"يتداخل مع زميل في الفرع",""))</f>
        <v/>
      </c>
    </row>
    <row r="81">
      <c r="A81" s="4" t="n"/>
      <c r="B81" s="8">
        <f>IF($A81="","",IFERROR(INDEX(StaffBranch,MATCH($A81,Staff,0)),""))</f>
        <v/>
      </c>
      <c r="C81" s="4" t="n"/>
      <c r="D81" s="12" t="n"/>
      <c r="E81" s="12" t="n"/>
      <c r="F81" s="28">
        <f>IF(OR($D81="",$E81=""),"",_xlfn.NETWORKDAYS.INTL($D81,$E81,Weekend))</f>
        <v/>
      </c>
      <c r="G81" s="4" t="n"/>
      <c r="H81" s="4" t="n"/>
      <c r="I81" s="8">
        <f>IF(OR($A81="",$H81='الإعدادات'!$Q$10),"",IF(COUNTIFS($B$3:$B$302,$B81,$D$3:$D$302,"&lt;="&amp;$E81,$E$3:$E$302,"&gt;="&amp;$D81,$H$3:$H$302,"&lt;&gt;"&amp;'الإعدادات'!$Q$10)&gt;1,"يتداخل مع زميل في الفرع",""))</f>
        <v/>
      </c>
    </row>
    <row r="82">
      <c r="A82" s="4" t="n"/>
      <c r="B82" s="8">
        <f>IF($A82="","",IFERROR(INDEX(StaffBranch,MATCH($A82,Staff,0)),""))</f>
        <v/>
      </c>
      <c r="C82" s="4" t="n"/>
      <c r="D82" s="12" t="n"/>
      <c r="E82" s="12" t="n"/>
      <c r="F82" s="28">
        <f>IF(OR($D82="",$E82=""),"",_xlfn.NETWORKDAYS.INTL($D82,$E82,Weekend))</f>
        <v/>
      </c>
      <c r="G82" s="4" t="n"/>
      <c r="H82" s="4" t="n"/>
      <c r="I82" s="8">
        <f>IF(OR($A82="",$H82='الإعدادات'!$Q$10),"",IF(COUNTIFS($B$3:$B$302,$B82,$D$3:$D$302,"&lt;="&amp;$E82,$E$3:$E$302,"&gt;="&amp;$D82,$H$3:$H$302,"&lt;&gt;"&amp;'الإعدادات'!$Q$10)&gt;1,"يتداخل مع زميل في الفرع",""))</f>
        <v/>
      </c>
    </row>
    <row r="83">
      <c r="A83" s="4" t="n"/>
      <c r="B83" s="8">
        <f>IF($A83="","",IFERROR(INDEX(StaffBranch,MATCH($A83,Staff,0)),""))</f>
        <v/>
      </c>
      <c r="C83" s="4" t="n"/>
      <c r="D83" s="12" t="n"/>
      <c r="E83" s="12" t="n"/>
      <c r="F83" s="28">
        <f>IF(OR($D83="",$E83=""),"",_xlfn.NETWORKDAYS.INTL($D83,$E83,Weekend))</f>
        <v/>
      </c>
      <c r="G83" s="4" t="n"/>
      <c r="H83" s="4" t="n"/>
      <c r="I83" s="8">
        <f>IF(OR($A83="",$H83='الإعدادات'!$Q$10),"",IF(COUNTIFS($B$3:$B$302,$B83,$D$3:$D$302,"&lt;="&amp;$E83,$E$3:$E$302,"&gt;="&amp;$D83,$H$3:$H$302,"&lt;&gt;"&amp;'الإعدادات'!$Q$10)&gt;1,"يتداخل مع زميل في الفرع",""))</f>
        <v/>
      </c>
    </row>
    <row r="84">
      <c r="A84" s="4" t="n"/>
      <c r="B84" s="8">
        <f>IF($A84="","",IFERROR(INDEX(StaffBranch,MATCH($A84,Staff,0)),""))</f>
        <v/>
      </c>
      <c r="C84" s="4" t="n"/>
      <c r="D84" s="12" t="n"/>
      <c r="E84" s="12" t="n"/>
      <c r="F84" s="28">
        <f>IF(OR($D84="",$E84=""),"",_xlfn.NETWORKDAYS.INTL($D84,$E84,Weekend))</f>
        <v/>
      </c>
      <c r="G84" s="4" t="n"/>
      <c r="H84" s="4" t="n"/>
      <c r="I84" s="8">
        <f>IF(OR($A84="",$H84='الإعدادات'!$Q$10),"",IF(COUNTIFS($B$3:$B$302,$B84,$D$3:$D$302,"&lt;="&amp;$E84,$E$3:$E$302,"&gt;="&amp;$D84,$H$3:$H$302,"&lt;&gt;"&amp;'الإعدادات'!$Q$10)&gt;1,"يتداخل مع زميل في الفرع",""))</f>
        <v/>
      </c>
    </row>
    <row r="85">
      <c r="A85" s="4" t="n"/>
      <c r="B85" s="8">
        <f>IF($A85="","",IFERROR(INDEX(StaffBranch,MATCH($A85,Staff,0)),""))</f>
        <v/>
      </c>
      <c r="C85" s="4" t="n"/>
      <c r="D85" s="12" t="n"/>
      <c r="E85" s="12" t="n"/>
      <c r="F85" s="28">
        <f>IF(OR($D85="",$E85=""),"",_xlfn.NETWORKDAYS.INTL($D85,$E85,Weekend))</f>
        <v/>
      </c>
      <c r="G85" s="4" t="n"/>
      <c r="H85" s="4" t="n"/>
      <c r="I85" s="8">
        <f>IF(OR($A85="",$H85='الإعدادات'!$Q$10),"",IF(COUNTIFS($B$3:$B$302,$B85,$D$3:$D$302,"&lt;="&amp;$E85,$E$3:$E$302,"&gt;="&amp;$D85,$H$3:$H$302,"&lt;&gt;"&amp;'الإعدادات'!$Q$10)&gt;1,"يتداخل مع زميل في الفرع",""))</f>
        <v/>
      </c>
    </row>
    <row r="86">
      <c r="A86" s="4" t="n"/>
      <c r="B86" s="8">
        <f>IF($A86="","",IFERROR(INDEX(StaffBranch,MATCH($A86,Staff,0)),""))</f>
        <v/>
      </c>
      <c r="C86" s="4" t="n"/>
      <c r="D86" s="12" t="n"/>
      <c r="E86" s="12" t="n"/>
      <c r="F86" s="28">
        <f>IF(OR($D86="",$E86=""),"",_xlfn.NETWORKDAYS.INTL($D86,$E86,Weekend))</f>
        <v/>
      </c>
      <c r="G86" s="4" t="n"/>
      <c r="H86" s="4" t="n"/>
      <c r="I86" s="8">
        <f>IF(OR($A86="",$H86='الإعدادات'!$Q$10),"",IF(COUNTIFS($B$3:$B$302,$B86,$D$3:$D$302,"&lt;="&amp;$E86,$E$3:$E$302,"&gt;="&amp;$D86,$H$3:$H$302,"&lt;&gt;"&amp;'الإعدادات'!$Q$10)&gt;1,"يتداخل مع زميل في الفرع",""))</f>
        <v/>
      </c>
    </row>
    <row r="87">
      <c r="A87" s="4" t="n"/>
      <c r="B87" s="8">
        <f>IF($A87="","",IFERROR(INDEX(StaffBranch,MATCH($A87,Staff,0)),""))</f>
        <v/>
      </c>
      <c r="C87" s="4" t="n"/>
      <c r="D87" s="12" t="n"/>
      <c r="E87" s="12" t="n"/>
      <c r="F87" s="28">
        <f>IF(OR($D87="",$E87=""),"",_xlfn.NETWORKDAYS.INTL($D87,$E87,Weekend))</f>
        <v/>
      </c>
      <c r="G87" s="4" t="n"/>
      <c r="H87" s="4" t="n"/>
      <c r="I87" s="8">
        <f>IF(OR($A87="",$H87='الإعدادات'!$Q$10),"",IF(COUNTIFS($B$3:$B$302,$B87,$D$3:$D$302,"&lt;="&amp;$E87,$E$3:$E$302,"&gt;="&amp;$D87,$H$3:$H$302,"&lt;&gt;"&amp;'الإعدادات'!$Q$10)&gt;1,"يتداخل مع زميل في الفرع",""))</f>
        <v/>
      </c>
    </row>
    <row r="88">
      <c r="A88" s="4" t="n"/>
      <c r="B88" s="8">
        <f>IF($A88="","",IFERROR(INDEX(StaffBranch,MATCH($A88,Staff,0)),""))</f>
        <v/>
      </c>
      <c r="C88" s="4" t="n"/>
      <c r="D88" s="12" t="n"/>
      <c r="E88" s="12" t="n"/>
      <c r="F88" s="28">
        <f>IF(OR($D88="",$E88=""),"",_xlfn.NETWORKDAYS.INTL($D88,$E88,Weekend))</f>
        <v/>
      </c>
      <c r="G88" s="4" t="n"/>
      <c r="H88" s="4" t="n"/>
      <c r="I88" s="8">
        <f>IF(OR($A88="",$H88='الإعدادات'!$Q$10),"",IF(COUNTIFS($B$3:$B$302,$B88,$D$3:$D$302,"&lt;="&amp;$E88,$E$3:$E$302,"&gt;="&amp;$D88,$H$3:$H$302,"&lt;&gt;"&amp;'الإعدادات'!$Q$10)&gt;1,"يتداخل مع زميل في الفرع",""))</f>
        <v/>
      </c>
    </row>
    <row r="89">
      <c r="A89" s="4" t="n"/>
      <c r="B89" s="8">
        <f>IF($A89="","",IFERROR(INDEX(StaffBranch,MATCH($A89,Staff,0)),""))</f>
        <v/>
      </c>
      <c r="C89" s="4" t="n"/>
      <c r="D89" s="12" t="n"/>
      <c r="E89" s="12" t="n"/>
      <c r="F89" s="28">
        <f>IF(OR($D89="",$E89=""),"",_xlfn.NETWORKDAYS.INTL($D89,$E89,Weekend))</f>
        <v/>
      </c>
      <c r="G89" s="4" t="n"/>
      <c r="H89" s="4" t="n"/>
      <c r="I89" s="8">
        <f>IF(OR($A89="",$H89='الإعدادات'!$Q$10),"",IF(COUNTIFS($B$3:$B$302,$B89,$D$3:$D$302,"&lt;="&amp;$E89,$E$3:$E$302,"&gt;="&amp;$D89,$H$3:$H$302,"&lt;&gt;"&amp;'الإعدادات'!$Q$10)&gt;1,"يتداخل مع زميل في الفرع",""))</f>
        <v/>
      </c>
    </row>
    <row r="90">
      <c r="A90" s="4" t="n"/>
      <c r="B90" s="8">
        <f>IF($A90="","",IFERROR(INDEX(StaffBranch,MATCH($A90,Staff,0)),""))</f>
        <v/>
      </c>
      <c r="C90" s="4" t="n"/>
      <c r="D90" s="12" t="n"/>
      <c r="E90" s="12" t="n"/>
      <c r="F90" s="28">
        <f>IF(OR($D90="",$E90=""),"",_xlfn.NETWORKDAYS.INTL($D90,$E90,Weekend))</f>
        <v/>
      </c>
      <c r="G90" s="4" t="n"/>
      <c r="H90" s="4" t="n"/>
      <c r="I90" s="8">
        <f>IF(OR($A90="",$H90='الإعدادات'!$Q$10),"",IF(COUNTIFS($B$3:$B$302,$B90,$D$3:$D$302,"&lt;="&amp;$E90,$E$3:$E$302,"&gt;="&amp;$D90,$H$3:$H$302,"&lt;&gt;"&amp;'الإعدادات'!$Q$10)&gt;1,"يتداخل مع زميل في الفرع",""))</f>
        <v/>
      </c>
    </row>
    <row r="91">
      <c r="A91" s="4" t="n"/>
      <c r="B91" s="8">
        <f>IF($A91="","",IFERROR(INDEX(StaffBranch,MATCH($A91,Staff,0)),""))</f>
        <v/>
      </c>
      <c r="C91" s="4" t="n"/>
      <c r="D91" s="12" t="n"/>
      <c r="E91" s="12" t="n"/>
      <c r="F91" s="28">
        <f>IF(OR($D91="",$E91=""),"",_xlfn.NETWORKDAYS.INTL($D91,$E91,Weekend))</f>
        <v/>
      </c>
      <c r="G91" s="4" t="n"/>
      <c r="H91" s="4" t="n"/>
      <c r="I91" s="8">
        <f>IF(OR($A91="",$H91='الإعدادات'!$Q$10),"",IF(COUNTIFS($B$3:$B$302,$B91,$D$3:$D$302,"&lt;="&amp;$E91,$E$3:$E$302,"&gt;="&amp;$D91,$H$3:$H$302,"&lt;&gt;"&amp;'الإعدادات'!$Q$10)&gt;1,"يتداخل مع زميل في الفرع",""))</f>
        <v/>
      </c>
    </row>
    <row r="92">
      <c r="A92" s="4" t="n"/>
      <c r="B92" s="8">
        <f>IF($A92="","",IFERROR(INDEX(StaffBranch,MATCH($A92,Staff,0)),""))</f>
        <v/>
      </c>
      <c r="C92" s="4" t="n"/>
      <c r="D92" s="12" t="n"/>
      <c r="E92" s="12" t="n"/>
      <c r="F92" s="28">
        <f>IF(OR($D92="",$E92=""),"",_xlfn.NETWORKDAYS.INTL($D92,$E92,Weekend))</f>
        <v/>
      </c>
      <c r="G92" s="4" t="n"/>
      <c r="H92" s="4" t="n"/>
      <c r="I92" s="8">
        <f>IF(OR($A92="",$H92='الإعدادات'!$Q$10),"",IF(COUNTIFS($B$3:$B$302,$B92,$D$3:$D$302,"&lt;="&amp;$E92,$E$3:$E$302,"&gt;="&amp;$D92,$H$3:$H$302,"&lt;&gt;"&amp;'الإعدادات'!$Q$10)&gt;1,"يتداخل مع زميل في الفرع",""))</f>
        <v/>
      </c>
    </row>
    <row r="93">
      <c r="A93" s="4" t="n"/>
      <c r="B93" s="8">
        <f>IF($A93="","",IFERROR(INDEX(StaffBranch,MATCH($A93,Staff,0)),""))</f>
        <v/>
      </c>
      <c r="C93" s="4" t="n"/>
      <c r="D93" s="12" t="n"/>
      <c r="E93" s="12" t="n"/>
      <c r="F93" s="28">
        <f>IF(OR($D93="",$E93=""),"",_xlfn.NETWORKDAYS.INTL($D93,$E93,Weekend))</f>
        <v/>
      </c>
      <c r="G93" s="4" t="n"/>
      <c r="H93" s="4" t="n"/>
      <c r="I93" s="8">
        <f>IF(OR($A93="",$H93='الإعدادات'!$Q$10),"",IF(COUNTIFS($B$3:$B$302,$B93,$D$3:$D$302,"&lt;="&amp;$E93,$E$3:$E$302,"&gt;="&amp;$D93,$H$3:$H$302,"&lt;&gt;"&amp;'الإعدادات'!$Q$10)&gt;1,"يتداخل مع زميل في الفرع",""))</f>
        <v/>
      </c>
    </row>
    <row r="94">
      <c r="A94" s="4" t="n"/>
      <c r="B94" s="8">
        <f>IF($A94="","",IFERROR(INDEX(StaffBranch,MATCH($A94,Staff,0)),""))</f>
        <v/>
      </c>
      <c r="C94" s="4" t="n"/>
      <c r="D94" s="12" t="n"/>
      <c r="E94" s="12" t="n"/>
      <c r="F94" s="28">
        <f>IF(OR($D94="",$E94=""),"",_xlfn.NETWORKDAYS.INTL($D94,$E94,Weekend))</f>
        <v/>
      </c>
      <c r="G94" s="4" t="n"/>
      <c r="H94" s="4" t="n"/>
      <c r="I94" s="8">
        <f>IF(OR($A94="",$H94='الإعدادات'!$Q$10),"",IF(COUNTIFS($B$3:$B$302,$B94,$D$3:$D$302,"&lt;="&amp;$E94,$E$3:$E$302,"&gt;="&amp;$D94,$H$3:$H$302,"&lt;&gt;"&amp;'الإعدادات'!$Q$10)&gt;1,"يتداخل مع زميل في الفرع",""))</f>
        <v/>
      </c>
    </row>
    <row r="95">
      <c r="A95" s="4" t="n"/>
      <c r="B95" s="8">
        <f>IF($A95="","",IFERROR(INDEX(StaffBranch,MATCH($A95,Staff,0)),""))</f>
        <v/>
      </c>
      <c r="C95" s="4" t="n"/>
      <c r="D95" s="12" t="n"/>
      <c r="E95" s="12" t="n"/>
      <c r="F95" s="28">
        <f>IF(OR($D95="",$E95=""),"",_xlfn.NETWORKDAYS.INTL($D95,$E95,Weekend))</f>
        <v/>
      </c>
      <c r="G95" s="4" t="n"/>
      <c r="H95" s="4" t="n"/>
      <c r="I95" s="8">
        <f>IF(OR($A95="",$H95='الإعدادات'!$Q$10),"",IF(COUNTIFS($B$3:$B$302,$B95,$D$3:$D$302,"&lt;="&amp;$E95,$E$3:$E$302,"&gt;="&amp;$D95,$H$3:$H$302,"&lt;&gt;"&amp;'الإعدادات'!$Q$10)&gt;1,"يتداخل مع زميل في الفرع",""))</f>
        <v/>
      </c>
    </row>
    <row r="96">
      <c r="A96" s="4" t="n"/>
      <c r="B96" s="8">
        <f>IF($A96="","",IFERROR(INDEX(StaffBranch,MATCH($A96,Staff,0)),""))</f>
        <v/>
      </c>
      <c r="C96" s="4" t="n"/>
      <c r="D96" s="12" t="n"/>
      <c r="E96" s="12" t="n"/>
      <c r="F96" s="28">
        <f>IF(OR($D96="",$E96=""),"",_xlfn.NETWORKDAYS.INTL($D96,$E96,Weekend))</f>
        <v/>
      </c>
      <c r="G96" s="4" t="n"/>
      <c r="H96" s="4" t="n"/>
      <c r="I96" s="8">
        <f>IF(OR($A96="",$H96='الإعدادات'!$Q$10),"",IF(COUNTIFS($B$3:$B$302,$B96,$D$3:$D$302,"&lt;="&amp;$E96,$E$3:$E$302,"&gt;="&amp;$D96,$H$3:$H$302,"&lt;&gt;"&amp;'الإعدادات'!$Q$10)&gt;1,"يتداخل مع زميل في الفرع",""))</f>
        <v/>
      </c>
    </row>
    <row r="97">
      <c r="A97" s="4" t="n"/>
      <c r="B97" s="8">
        <f>IF($A97="","",IFERROR(INDEX(StaffBranch,MATCH($A97,Staff,0)),""))</f>
        <v/>
      </c>
      <c r="C97" s="4" t="n"/>
      <c r="D97" s="12" t="n"/>
      <c r="E97" s="12" t="n"/>
      <c r="F97" s="28">
        <f>IF(OR($D97="",$E97=""),"",_xlfn.NETWORKDAYS.INTL($D97,$E97,Weekend))</f>
        <v/>
      </c>
      <c r="G97" s="4" t="n"/>
      <c r="H97" s="4" t="n"/>
      <c r="I97" s="8">
        <f>IF(OR($A97="",$H97='الإعدادات'!$Q$10),"",IF(COUNTIFS($B$3:$B$302,$B97,$D$3:$D$302,"&lt;="&amp;$E97,$E$3:$E$302,"&gt;="&amp;$D97,$H$3:$H$302,"&lt;&gt;"&amp;'الإعدادات'!$Q$10)&gt;1,"يتداخل مع زميل في الفرع",""))</f>
        <v/>
      </c>
    </row>
    <row r="98">
      <c r="A98" s="4" t="n"/>
      <c r="B98" s="8">
        <f>IF($A98="","",IFERROR(INDEX(StaffBranch,MATCH($A98,Staff,0)),""))</f>
        <v/>
      </c>
      <c r="C98" s="4" t="n"/>
      <c r="D98" s="12" t="n"/>
      <c r="E98" s="12" t="n"/>
      <c r="F98" s="28">
        <f>IF(OR($D98="",$E98=""),"",_xlfn.NETWORKDAYS.INTL($D98,$E98,Weekend))</f>
        <v/>
      </c>
      <c r="G98" s="4" t="n"/>
      <c r="H98" s="4" t="n"/>
      <c r="I98" s="8">
        <f>IF(OR($A98="",$H98='الإعدادات'!$Q$10),"",IF(COUNTIFS($B$3:$B$302,$B98,$D$3:$D$302,"&lt;="&amp;$E98,$E$3:$E$302,"&gt;="&amp;$D98,$H$3:$H$302,"&lt;&gt;"&amp;'الإعدادات'!$Q$10)&gt;1,"يتداخل مع زميل في الفرع",""))</f>
        <v/>
      </c>
    </row>
    <row r="99">
      <c r="A99" s="4" t="n"/>
      <c r="B99" s="8">
        <f>IF($A99="","",IFERROR(INDEX(StaffBranch,MATCH($A99,Staff,0)),""))</f>
        <v/>
      </c>
      <c r="C99" s="4" t="n"/>
      <c r="D99" s="12" t="n"/>
      <c r="E99" s="12" t="n"/>
      <c r="F99" s="28">
        <f>IF(OR($D99="",$E99=""),"",_xlfn.NETWORKDAYS.INTL($D99,$E99,Weekend))</f>
        <v/>
      </c>
      <c r="G99" s="4" t="n"/>
      <c r="H99" s="4" t="n"/>
      <c r="I99" s="8">
        <f>IF(OR($A99="",$H99='الإعدادات'!$Q$10),"",IF(COUNTIFS($B$3:$B$302,$B99,$D$3:$D$302,"&lt;="&amp;$E99,$E$3:$E$302,"&gt;="&amp;$D99,$H$3:$H$302,"&lt;&gt;"&amp;'الإعدادات'!$Q$10)&gt;1,"يتداخل مع زميل في الفرع",""))</f>
        <v/>
      </c>
    </row>
    <row r="100">
      <c r="A100" s="4" t="n"/>
      <c r="B100" s="8">
        <f>IF($A100="","",IFERROR(INDEX(StaffBranch,MATCH($A100,Staff,0)),""))</f>
        <v/>
      </c>
      <c r="C100" s="4" t="n"/>
      <c r="D100" s="12" t="n"/>
      <c r="E100" s="12" t="n"/>
      <c r="F100" s="28">
        <f>IF(OR($D100="",$E100=""),"",_xlfn.NETWORKDAYS.INTL($D100,$E100,Weekend))</f>
        <v/>
      </c>
      <c r="G100" s="4" t="n"/>
      <c r="H100" s="4" t="n"/>
      <c r="I100" s="8">
        <f>IF(OR($A100="",$H100='الإعدادات'!$Q$10),"",IF(COUNTIFS($B$3:$B$302,$B100,$D$3:$D$302,"&lt;="&amp;$E100,$E$3:$E$302,"&gt;="&amp;$D100,$H$3:$H$302,"&lt;&gt;"&amp;'الإعدادات'!$Q$10)&gt;1,"يتداخل مع زميل في الفرع",""))</f>
        <v/>
      </c>
    </row>
    <row r="101">
      <c r="A101" s="4" t="n"/>
      <c r="B101" s="8">
        <f>IF($A101="","",IFERROR(INDEX(StaffBranch,MATCH($A101,Staff,0)),""))</f>
        <v/>
      </c>
      <c r="C101" s="4" t="n"/>
      <c r="D101" s="12" t="n"/>
      <c r="E101" s="12" t="n"/>
      <c r="F101" s="28">
        <f>IF(OR($D101="",$E101=""),"",_xlfn.NETWORKDAYS.INTL($D101,$E101,Weekend))</f>
        <v/>
      </c>
      <c r="G101" s="4" t="n"/>
      <c r="H101" s="4" t="n"/>
      <c r="I101" s="8">
        <f>IF(OR($A101="",$H101='الإعدادات'!$Q$10),"",IF(COUNTIFS($B$3:$B$302,$B101,$D$3:$D$302,"&lt;="&amp;$E101,$E$3:$E$302,"&gt;="&amp;$D101,$H$3:$H$302,"&lt;&gt;"&amp;'الإعدادات'!$Q$10)&gt;1,"يتداخل مع زميل في الفرع",""))</f>
        <v/>
      </c>
    </row>
    <row r="102">
      <c r="A102" s="4" t="n"/>
      <c r="B102" s="8">
        <f>IF($A102="","",IFERROR(INDEX(StaffBranch,MATCH($A102,Staff,0)),""))</f>
        <v/>
      </c>
      <c r="C102" s="4" t="n"/>
      <c r="D102" s="12" t="n"/>
      <c r="E102" s="12" t="n"/>
      <c r="F102" s="28">
        <f>IF(OR($D102="",$E102=""),"",_xlfn.NETWORKDAYS.INTL($D102,$E102,Weekend))</f>
        <v/>
      </c>
      <c r="G102" s="4" t="n"/>
      <c r="H102" s="4" t="n"/>
      <c r="I102" s="8">
        <f>IF(OR($A102="",$H102='الإعدادات'!$Q$10),"",IF(COUNTIFS($B$3:$B$302,$B102,$D$3:$D$302,"&lt;="&amp;$E102,$E$3:$E$302,"&gt;="&amp;$D102,$H$3:$H$302,"&lt;&gt;"&amp;'الإعدادات'!$Q$10)&gt;1,"يتداخل مع زميل في الفرع",""))</f>
        <v/>
      </c>
    </row>
    <row r="103">
      <c r="A103" s="4" t="n"/>
      <c r="B103" s="8">
        <f>IF($A103="","",IFERROR(INDEX(StaffBranch,MATCH($A103,Staff,0)),""))</f>
        <v/>
      </c>
      <c r="C103" s="4" t="n"/>
      <c r="D103" s="12" t="n"/>
      <c r="E103" s="12" t="n"/>
      <c r="F103" s="28">
        <f>IF(OR($D103="",$E103=""),"",_xlfn.NETWORKDAYS.INTL($D103,$E103,Weekend))</f>
        <v/>
      </c>
      <c r="G103" s="4" t="n"/>
      <c r="H103" s="4" t="n"/>
      <c r="I103" s="8">
        <f>IF(OR($A103="",$H103='الإعدادات'!$Q$10),"",IF(COUNTIFS($B$3:$B$302,$B103,$D$3:$D$302,"&lt;="&amp;$E103,$E$3:$E$302,"&gt;="&amp;$D103,$H$3:$H$302,"&lt;&gt;"&amp;'الإعدادات'!$Q$10)&gt;1,"يتداخل مع زميل في الفرع",""))</f>
        <v/>
      </c>
    </row>
    <row r="104">
      <c r="A104" s="4" t="n"/>
      <c r="B104" s="8">
        <f>IF($A104="","",IFERROR(INDEX(StaffBranch,MATCH($A104,Staff,0)),""))</f>
        <v/>
      </c>
      <c r="C104" s="4" t="n"/>
      <c r="D104" s="12" t="n"/>
      <c r="E104" s="12" t="n"/>
      <c r="F104" s="28">
        <f>IF(OR($D104="",$E104=""),"",_xlfn.NETWORKDAYS.INTL($D104,$E104,Weekend))</f>
        <v/>
      </c>
      <c r="G104" s="4" t="n"/>
      <c r="H104" s="4" t="n"/>
      <c r="I104" s="8">
        <f>IF(OR($A104="",$H104='الإعدادات'!$Q$10),"",IF(COUNTIFS($B$3:$B$302,$B104,$D$3:$D$302,"&lt;="&amp;$E104,$E$3:$E$302,"&gt;="&amp;$D104,$H$3:$H$302,"&lt;&gt;"&amp;'الإعدادات'!$Q$10)&gt;1,"يتداخل مع زميل في الفرع",""))</f>
        <v/>
      </c>
    </row>
    <row r="105">
      <c r="A105" s="4" t="n"/>
      <c r="B105" s="8">
        <f>IF($A105="","",IFERROR(INDEX(StaffBranch,MATCH($A105,Staff,0)),""))</f>
        <v/>
      </c>
      <c r="C105" s="4" t="n"/>
      <c r="D105" s="12" t="n"/>
      <c r="E105" s="12" t="n"/>
      <c r="F105" s="28">
        <f>IF(OR($D105="",$E105=""),"",_xlfn.NETWORKDAYS.INTL($D105,$E105,Weekend))</f>
        <v/>
      </c>
      <c r="G105" s="4" t="n"/>
      <c r="H105" s="4" t="n"/>
      <c r="I105" s="8">
        <f>IF(OR($A105="",$H105='الإعدادات'!$Q$10),"",IF(COUNTIFS($B$3:$B$302,$B105,$D$3:$D$302,"&lt;="&amp;$E105,$E$3:$E$302,"&gt;="&amp;$D105,$H$3:$H$302,"&lt;&gt;"&amp;'الإعدادات'!$Q$10)&gt;1,"يتداخل مع زميل في الفرع",""))</f>
        <v/>
      </c>
    </row>
    <row r="106">
      <c r="A106" s="4" t="n"/>
      <c r="B106" s="8">
        <f>IF($A106="","",IFERROR(INDEX(StaffBranch,MATCH($A106,Staff,0)),""))</f>
        <v/>
      </c>
      <c r="C106" s="4" t="n"/>
      <c r="D106" s="12" t="n"/>
      <c r="E106" s="12" t="n"/>
      <c r="F106" s="28">
        <f>IF(OR($D106="",$E106=""),"",_xlfn.NETWORKDAYS.INTL($D106,$E106,Weekend))</f>
        <v/>
      </c>
      <c r="G106" s="4" t="n"/>
      <c r="H106" s="4" t="n"/>
      <c r="I106" s="8">
        <f>IF(OR($A106="",$H106='الإعدادات'!$Q$10),"",IF(COUNTIFS($B$3:$B$302,$B106,$D$3:$D$302,"&lt;="&amp;$E106,$E$3:$E$302,"&gt;="&amp;$D106,$H$3:$H$302,"&lt;&gt;"&amp;'الإعدادات'!$Q$10)&gt;1,"يتداخل مع زميل في الفرع",""))</f>
        <v/>
      </c>
    </row>
    <row r="107">
      <c r="A107" s="4" t="n"/>
      <c r="B107" s="8">
        <f>IF($A107="","",IFERROR(INDEX(StaffBranch,MATCH($A107,Staff,0)),""))</f>
        <v/>
      </c>
      <c r="C107" s="4" t="n"/>
      <c r="D107" s="12" t="n"/>
      <c r="E107" s="12" t="n"/>
      <c r="F107" s="28">
        <f>IF(OR($D107="",$E107=""),"",_xlfn.NETWORKDAYS.INTL($D107,$E107,Weekend))</f>
        <v/>
      </c>
      <c r="G107" s="4" t="n"/>
      <c r="H107" s="4" t="n"/>
      <c r="I107" s="8">
        <f>IF(OR($A107="",$H107='الإعدادات'!$Q$10),"",IF(COUNTIFS($B$3:$B$302,$B107,$D$3:$D$302,"&lt;="&amp;$E107,$E$3:$E$302,"&gt;="&amp;$D107,$H$3:$H$302,"&lt;&gt;"&amp;'الإعدادات'!$Q$10)&gt;1,"يتداخل مع زميل في الفرع",""))</f>
        <v/>
      </c>
    </row>
    <row r="108">
      <c r="A108" s="4" t="n"/>
      <c r="B108" s="8">
        <f>IF($A108="","",IFERROR(INDEX(StaffBranch,MATCH($A108,Staff,0)),""))</f>
        <v/>
      </c>
      <c r="C108" s="4" t="n"/>
      <c r="D108" s="12" t="n"/>
      <c r="E108" s="12" t="n"/>
      <c r="F108" s="28">
        <f>IF(OR($D108="",$E108=""),"",_xlfn.NETWORKDAYS.INTL($D108,$E108,Weekend))</f>
        <v/>
      </c>
      <c r="G108" s="4" t="n"/>
      <c r="H108" s="4" t="n"/>
      <c r="I108" s="8">
        <f>IF(OR($A108="",$H108='الإعدادات'!$Q$10),"",IF(COUNTIFS($B$3:$B$302,$B108,$D$3:$D$302,"&lt;="&amp;$E108,$E$3:$E$302,"&gt;="&amp;$D108,$H$3:$H$302,"&lt;&gt;"&amp;'الإعدادات'!$Q$10)&gt;1,"يتداخل مع زميل في الفرع",""))</f>
        <v/>
      </c>
    </row>
    <row r="109">
      <c r="A109" s="4" t="n"/>
      <c r="B109" s="8">
        <f>IF($A109="","",IFERROR(INDEX(StaffBranch,MATCH($A109,Staff,0)),""))</f>
        <v/>
      </c>
      <c r="C109" s="4" t="n"/>
      <c r="D109" s="12" t="n"/>
      <c r="E109" s="12" t="n"/>
      <c r="F109" s="28">
        <f>IF(OR($D109="",$E109=""),"",_xlfn.NETWORKDAYS.INTL($D109,$E109,Weekend))</f>
        <v/>
      </c>
      <c r="G109" s="4" t="n"/>
      <c r="H109" s="4" t="n"/>
      <c r="I109" s="8">
        <f>IF(OR($A109="",$H109='الإعدادات'!$Q$10),"",IF(COUNTIFS($B$3:$B$302,$B109,$D$3:$D$302,"&lt;="&amp;$E109,$E$3:$E$302,"&gt;="&amp;$D109,$H$3:$H$302,"&lt;&gt;"&amp;'الإعدادات'!$Q$10)&gt;1,"يتداخل مع زميل في الفرع",""))</f>
        <v/>
      </c>
    </row>
    <row r="110">
      <c r="A110" s="4" t="n"/>
      <c r="B110" s="8">
        <f>IF($A110="","",IFERROR(INDEX(StaffBranch,MATCH($A110,Staff,0)),""))</f>
        <v/>
      </c>
      <c r="C110" s="4" t="n"/>
      <c r="D110" s="12" t="n"/>
      <c r="E110" s="12" t="n"/>
      <c r="F110" s="28">
        <f>IF(OR($D110="",$E110=""),"",_xlfn.NETWORKDAYS.INTL($D110,$E110,Weekend))</f>
        <v/>
      </c>
      <c r="G110" s="4" t="n"/>
      <c r="H110" s="4" t="n"/>
      <c r="I110" s="8">
        <f>IF(OR($A110="",$H110='الإعدادات'!$Q$10),"",IF(COUNTIFS($B$3:$B$302,$B110,$D$3:$D$302,"&lt;="&amp;$E110,$E$3:$E$302,"&gt;="&amp;$D110,$H$3:$H$302,"&lt;&gt;"&amp;'الإعدادات'!$Q$10)&gt;1,"يتداخل مع زميل في الفرع",""))</f>
        <v/>
      </c>
    </row>
    <row r="111">
      <c r="A111" s="4" t="n"/>
      <c r="B111" s="8">
        <f>IF($A111="","",IFERROR(INDEX(StaffBranch,MATCH($A111,Staff,0)),""))</f>
        <v/>
      </c>
      <c r="C111" s="4" t="n"/>
      <c r="D111" s="12" t="n"/>
      <c r="E111" s="12" t="n"/>
      <c r="F111" s="28">
        <f>IF(OR($D111="",$E111=""),"",_xlfn.NETWORKDAYS.INTL($D111,$E111,Weekend))</f>
        <v/>
      </c>
      <c r="G111" s="4" t="n"/>
      <c r="H111" s="4" t="n"/>
      <c r="I111" s="8">
        <f>IF(OR($A111="",$H111='الإعدادات'!$Q$10),"",IF(COUNTIFS($B$3:$B$302,$B111,$D$3:$D$302,"&lt;="&amp;$E111,$E$3:$E$302,"&gt;="&amp;$D111,$H$3:$H$302,"&lt;&gt;"&amp;'الإعدادات'!$Q$10)&gt;1,"يتداخل مع زميل في الفرع",""))</f>
        <v/>
      </c>
    </row>
    <row r="112">
      <c r="A112" s="4" t="n"/>
      <c r="B112" s="8">
        <f>IF($A112="","",IFERROR(INDEX(StaffBranch,MATCH($A112,Staff,0)),""))</f>
        <v/>
      </c>
      <c r="C112" s="4" t="n"/>
      <c r="D112" s="12" t="n"/>
      <c r="E112" s="12" t="n"/>
      <c r="F112" s="28">
        <f>IF(OR($D112="",$E112=""),"",_xlfn.NETWORKDAYS.INTL($D112,$E112,Weekend))</f>
        <v/>
      </c>
      <c r="G112" s="4" t="n"/>
      <c r="H112" s="4" t="n"/>
      <c r="I112" s="8">
        <f>IF(OR($A112="",$H112='الإعدادات'!$Q$10),"",IF(COUNTIFS($B$3:$B$302,$B112,$D$3:$D$302,"&lt;="&amp;$E112,$E$3:$E$302,"&gt;="&amp;$D112,$H$3:$H$302,"&lt;&gt;"&amp;'الإعدادات'!$Q$10)&gt;1,"يتداخل مع زميل في الفرع",""))</f>
        <v/>
      </c>
    </row>
    <row r="113">
      <c r="A113" s="4" t="n"/>
      <c r="B113" s="8">
        <f>IF($A113="","",IFERROR(INDEX(StaffBranch,MATCH($A113,Staff,0)),""))</f>
        <v/>
      </c>
      <c r="C113" s="4" t="n"/>
      <c r="D113" s="12" t="n"/>
      <c r="E113" s="12" t="n"/>
      <c r="F113" s="28">
        <f>IF(OR($D113="",$E113=""),"",_xlfn.NETWORKDAYS.INTL($D113,$E113,Weekend))</f>
        <v/>
      </c>
      <c r="G113" s="4" t="n"/>
      <c r="H113" s="4" t="n"/>
      <c r="I113" s="8">
        <f>IF(OR($A113="",$H113='الإعدادات'!$Q$10),"",IF(COUNTIFS($B$3:$B$302,$B113,$D$3:$D$302,"&lt;="&amp;$E113,$E$3:$E$302,"&gt;="&amp;$D113,$H$3:$H$302,"&lt;&gt;"&amp;'الإعدادات'!$Q$10)&gt;1,"يتداخل مع زميل في الفرع",""))</f>
        <v/>
      </c>
    </row>
    <row r="114">
      <c r="A114" s="4" t="n"/>
      <c r="B114" s="8">
        <f>IF($A114="","",IFERROR(INDEX(StaffBranch,MATCH($A114,Staff,0)),""))</f>
        <v/>
      </c>
      <c r="C114" s="4" t="n"/>
      <c r="D114" s="12" t="n"/>
      <c r="E114" s="12" t="n"/>
      <c r="F114" s="28">
        <f>IF(OR($D114="",$E114=""),"",_xlfn.NETWORKDAYS.INTL($D114,$E114,Weekend))</f>
        <v/>
      </c>
      <c r="G114" s="4" t="n"/>
      <c r="H114" s="4" t="n"/>
      <c r="I114" s="8">
        <f>IF(OR($A114="",$H114='الإعدادات'!$Q$10),"",IF(COUNTIFS($B$3:$B$302,$B114,$D$3:$D$302,"&lt;="&amp;$E114,$E$3:$E$302,"&gt;="&amp;$D114,$H$3:$H$302,"&lt;&gt;"&amp;'الإعدادات'!$Q$10)&gt;1,"يتداخل مع زميل في الفرع",""))</f>
        <v/>
      </c>
    </row>
    <row r="115">
      <c r="A115" s="4" t="n"/>
      <c r="B115" s="8">
        <f>IF($A115="","",IFERROR(INDEX(StaffBranch,MATCH($A115,Staff,0)),""))</f>
        <v/>
      </c>
      <c r="C115" s="4" t="n"/>
      <c r="D115" s="12" t="n"/>
      <c r="E115" s="12" t="n"/>
      <c r="F115" s="28">
        <f>IF(OR($D115="",$E115=""),"",_xlfn.NETWORKDAYS.INTL($D115,$E115,Weekend))</f>
        <v/>
      </c>
      <c r="G115" s="4" t="n"/>
      <c r="H115" s="4" t="n"/>
      <c r="I115" s="8">
        <f>IF(OR($A115="",$H115='الإعدادات'!$Q$10),"",IF(COUNTIFS($B$3:$B$302,$B115,$D$3:$D$302,"&lt;="&amp;$E115,$E$3:$E$302,"&gt;="&amp;$D115,$H$3:$H$302,"&lt;&gt;"&amp;'الإعدادات'!$Q$10)&gt;1,"يتداخل مع زميل في الفرع",""))</f>
        <v/>
      </c>
    </row>
    <row r="116">
      <c r="A116" s="4" t="n"/>
      <c r="B116" s="8">
        <f>IF($A116="","",IFERROR(INDEX(StaffBranch,MATCH($A116,Staff,0)),""))</f>
        <v/>
      </c>
      <c r="C116" s="4" t="n"/>
      <c r="D116" s="12" t="n"/>
      <c r="E116" s="12" t="n"/>
      <c r="F116" s="28">
        <f>IF(OR($D116="",$E116=""),"",_xlfn.NETWORKDAYS.INTL($D116,$E116,Weekend))</f>
        <v/>
      </c>
      <c r="G116" s="4" t="n"/>
      <c r="H116" s="4" t="n"/>
      <c r="I116" s="8">
        <f>IF(OR($A116="",$H116='الإعدادات'!$Q$10),"",IF(COUNTIFS($B$3:$B$302,$B116,$D$3:$D$302,"&lt;="&amp;$E116,$E$3:$E$302,"&gt;="&amp;$D116,$H$3:$H$302,"&lt;&gt;"&amp;'الإعدادات'!$Q$10)&gt;1,"يتداخل مع زميل في الفرع",""))</f>
        <v/>
      </c>
    </row>
    <row r="117">
      <c r="A117" s="4" t="n"/>
      <c r="B117" s="8">
        <f>IF($A117="","",IFERROR(INDEX(StaffBranch,MATCH($A117,Staff,0)),""))</f>
        <v/>
      </c>
      <c r="C117" s="4" t="n"/>
      <c r="D117" s="12" t="n"/>
      <c r="E117" s="12" t="n"/>
      <c r="F117" s="28">
        <f>IF(OR($D117="",$E117=""),"",_xlfn.NETWORKDAYS.INTL($D117,$E117,Weekend))</f>
        <v/>
      </c>
      <c r="G117" s="4" t="n"/>
      <c r="H117" s="4" t="n"/>
      <c r="I117" s="8">
        <f>IF(OR($A117="",$H117='الإعدادات'!$Q$10),"",IF(COUNTIFS($B$3:$B$302,$B117,$D$3:$D$302,"&lt;="&amp;$E117,$E$3:$E$302,"&gt;="&amp;$D117,$H$3:$H$302,"&lt;&gt;"&amp;'الإعدادات'!$Q$10)&gt;1,"يتداخل مع زميل في الفرع",""))</f>
        <v/>
      </c>
    </row>
    <row r="118">
      <c r="A118" s="4" t="n"/>
      <c r="B118" s="8">
        <f>IF($A118="","",IFERROR(INDEX(StaffBranch,MATCH($A118,Staff,0)),""))</f>
        <v/>
      </c>
      <c r="C118" s="4" t="n"/>
      <c r="D118" s="12" t="n"/>
      <c r="E118" s="12" t="n"/>
      <c r="F118" s="28">
        <f>IF(OR($D118="",$E118=""),"",_xlfn.NETWORKDAYS.INTL($D118,$E118,Weekend))</f>
        <v/>
      </c>
      <c r="G118" s="4" t="n"/>
      <c r="H118" s="4" t="n"/>
      <c r="I118" s="8">
        <f>IF(OR($A118="",$H118='الإعدادات'!$Q$10),"",IF(COUNTIFS($B$3:$B$302,$B118,$D$3:$D$302,"&lt;="&amp;$E118,$E$3:$E$302,"&gt;="&amp;$D118,$H$3:$H$302,"&lt;&gt;"&amp;'الإعدادات'!$Q$10)&gt;1,"يتداخل مع زميل في الفرع",""))</f>
        <v/>
      </c>
    </row>
    <row r="119">
      <c r="A119" s="4" t="n"/>
      <c r="B119" s="8">
        <f>IF($A119="","",IFERROR(INDEX(StaffBranch,MATCH($A119,Staff,0)),""))</f>
        <v/>
      </c>
      <c r="C119" s="4" t="n"/>
      <c r="D119" s="12" t="n"/>
      <c r="E119" s="12" t="n"/>
      <c r="F119" s="28">
        <f>IF(OR($D119="",$E119=""),"",_xlfn.NETWORKDAYS.INTL($D119,$E119,Weekend))</f>
        <v/>
      </c>
      <c r="G119" s="4" t="n"/>
      <c r="H119" s="4" t="n"/>
      <c r="I119" s="8">
        <f>IF(OR($A119="",$H119='الإعدادات'!$Q$10),"",IF(COUNTIFS($B$3:$B$302,$B119,$D$3:$D$302,"&lt;="&amp;$E119,$E$3:$E$302,"&gt;="&amp;$D119,$H$3:$H$302,"&lt;&gt;"&amp;'الإعدادات'!$Q$10)&gt;1,"يتداخل مع زميل في الفرع",""))</f>
        <v/>
      </c>
    </row>
    <row r="120">
      <c r="A120" s="4" t="n"/>
      <c r="B120" s="8">
        <f>IF($A120="","",IFERROR(INDEX(StaffBranch,MATCH($A120,Staff,0)),""))</f>
        <v/>
      </c>
      <c r="C120" s="4" t="n"/>
      <c r="D120" s="12" t="n"/>
      <c r="E120" s="12" t="n"/>
      <c r="F120" s="28">
        <f>IF(OR($D120="",$E120=""),"",_xlfn.NETWORKDAYS.INTL($D120,$E120,Weekend))</f>
        <v/>
      </c>
      <c r="G120" s="4" t="n"/>
      <c r="H120" s="4" t="n"/>
      <c r="I120" s="8">
        <f>IF(OR($A120="",$H120='الإعدادات'!$Q$10),"",IF(COUNTIFS($B$3:$B$302,$B120,$D$3:$D$302,"&lt;="&amp;$E120,$E$3:$E$302,"&gt;="&amp;$D120,$H$3:$H$302,"&lt;&gt;"&amp;'الإعدادات'!$Q$10)&gt;1,"يتداخل مع زميل في الفرع",""))</f>
        <v/>
      </c>
    </row>
    <row r="121">
      <c r="A121" s="4" t="n"/>
      <c r="B121" s="8">
        <f>IF($A121="","",IFERROR(INDEX(StaffBranch,MATCH($A121,Staff,0)),""))</f>
        <v/>
      </c>
      <c r="C121" s="4" t="n"/>
      <c r="D121" s="12" t="n"/>
      <c r="E121" s="12" t="n"/>
      <c r="F121" s="28">
        <f>IF(OR($D121="",$E121=""),"",_xlfn.NETWORKDAYS.INTL($D121,$E121,Weekend))</f>
        <v/>
      </c>
      <c r="G121" s="4" t="n"/>
      <c r="H121" s="4" t="n"/>
      <c r="I121" s="8">
        <f>IF(OR($A121="",$H121='الإعدادات'!$Q$10),"",IF(COUNTIFS($B$3:$B$302,$B121,$D$3:$D$302,"&lt;="&amp;$E121,$E$3:$E$302,"&gt;="&amp;$D121,$H$3:$H$302,"&lt;&gt;"&amp;'الإعدادات'!$Q$10)&gt;1,"يتداخل مع زميل في الفرع",""))</f>
        <v/>
      </c>
    </row>
    <row r="122">
      <c r="A122" s="4" t="n"/>
      <c r="B122" s="8">
        <f>IF($A122="","",IFERROR(INDEX(StaffBranch,MATCH($A122,Staff,0)),""))</f>
        <v/>
      </c>
      <c r="C122" s="4" t="n"/>
      <c r="D122" s="12" t="n"/>
      <c r="E122" s="12" t="n"/>
      <c r="F122" s="28">
        <f>IF(OR($D122="",$E122=""),"",_xlfn.NETWORKDAYS.INTL($D122,$E122,Weekend))</f>
        <v/>
      </c>
      <c r="G122" s="4" t="n"/>
      <c r="H122" s="4" t="n"/>
      <c r="I122" s="8">
        <f>IF(OR($A122="",$H122='الإعدادات'!$Q$10),"",IF(COUNTIFS($B$3:$B$302,$B122,$D$3:$D$302,"&lt;="&amp;$E122,$E$3:$E$302,"&gt;="&amp;$D122,$H$3:$H$302,"&lt;&gt;"&amp;'الإعدادات'!$Q$10)&gt;1,"يتداخل مع زميل في الفرع",""))</f>
        <v/>
      </c>
    </row>
    <row r="123">
      <c r="A123" s="4" t="n"/>
      <c r="B123" s="8">
        <f>IF($A123="","",IFERROR(INDEX(StaffBranch,MATCH($A123,Staff,0)),""))</f>
        <v/>
      </c>
      <c r="C123" s="4" t="n"/>
      <c r="D123" s="12" t="n"/>
      <c r="E123" s="12" t="n"/>
      <c r="F123" s="28">
        <f>IF(OR($D123="",$E123=""),"",_xlfn.NETWORKDAYS.INTL($D123,$E123,Weekend))</f>
        <v/>
      </c>
      <c r="G123" s="4" t="n"/>
      <c r="H123" s="4" t="n"/>
      <c r="I123" s="8">
        <f>IF(OR($A123="",$H123='الإعدادات'!$Q$10),"",IF(COUNTIFS($B$3:$B$302,$B123,$D$3:$D$302,"&lt;="&amp;$E123,$E$3:$E$302,"&gt;="&amp;$D123,$H$3:$H$302,"&lt;&gt;"&amp;'الإعدادات'!$Q$10)&gt;1,"يتداخل مع زميل في الفرع",""))</f>
        <v/>
      </c>
    </row>
    <row r="124">
      <c r="A124" s="4" t="n"/>
      <c r="B124" s="8">
        <f>IF($A124="","",IFERROR(INDEX(StaffBranch,MATCH($A124,Staff,0)),""))</f>
        <v/>
      </c>
      <c r="C124" s="4" t="n"/>
      <c r="D124" s="12" t="n"/>
      <c r="E124" s="12" t="n"/>
      <c r="F124" s="28">
        <f>IF(OR($D124="",$E124=""),"",_xlfn.NETWORKDAYS.INTL($D124,$E124,Weekend))</f>
        <v/>
      </c>
      <c r="G124" s="4" t="n"/>
      <c r="H124" s="4" t="n"/>
      <c r="I124" s="8">
        <f>IF(OR($A124="",$H124='الإعدادات'!$Q$10),"",IF(COUNTIFS($B$3:$B$302,$B124,$D$3:$D$302,"&lt;="&amp;$E124,$E$3:$E$302,"&gt;="&amp;$D124,$H$3:$H$302,"&lt;&gt;"&amp;'الإعدادات'!$Q$10)&gt;1,"يتداخل مع زميل في الفرع",""))</f>
        <v/>
      </c>
    </row>
    <row r="125">
      <c r="A125" s="4" t="n"/>
      <c r="B125" s="8">
        <f>IF($A125="","",IFERROR(INDEX(StaffBranch,MATCH($A125,Staff,0)),""))</f>
        <v/>
      </c>
      <c r="C125" s="4" t="n"/>
      <c r="D125" s="12" t="n"/>
      <c r="E125" s="12" t="n"/>
      <c r="F125" s="28">
        <f>IF(OR($D125="",$E125=""),"",_xlfn.NETWORKDAYS.INTL($D125,$E125,Weekend))</f>
        <v/>
      </c>
      <c r="G125" s="4" t="n"/>
      <c r="H125" s="4" t="n"/>
      <c r="I125" s="8">
        <f>IF(OR($A125="",$H125='الإعدادات'!$Q$10),"",IF(COUNTIFS($B$3:$B$302,$B125,$D$3:$D$302,"&lt;="&amp;$E125,$E$3:$E$302,"&gt;="&amp;$D125,$H$3:$H$302,"&lt;&gt;"&amp;'الإعدادات'!$Q$10)&gt;1,"يتداخل مع زميل في الفرع",""))</f>
        <v/>
      </c>
    </row>
    <row r="126">
      <c r="A126" s="4" t="n"/>
      <c r="B126" s="8">
        <f>IF($A126="","",IFERROR(INDEX(StaffBranch,MATCH($A126,Staff,0)),""))</f>
        <v/>
      </c>
      <c r="C126" s="4" t="n"/>
      <c r="D126" s="12" t="n"/>
      <c r="E126" s="12" t="n"/>
      <c r="F126" s="28">
        <f>IF(OR($D126="",$E126=""),"",_xlfn.NETWORKDAYS.INTL($D126,$E126,Weekend))</f>
        <v/>
      </c>
      <c r="G126" s="4" t="n"/>
      <c r="H126" s="4" t="n"/>
      <c r="I126" s="8">
        <f>IF(OR($A126="",$H126='الإعدادات'!$Q$10),"",IF(COUNTIFS($B$3:$B$302,$B126,$D$3:$D$302,"&lt;="&amp;$E126,$E$3:$E$302,"&gt;="&amp;$D126,$H$3:$H$302,"&lt;&gt;"&amp;'الإعدادات'!$Q$10)&gt;1,"يتداخل مع زميل في الفرع",""))</f>
        <v/>
      </c>
    </row>
    <row r="127">
      <c r="A127" s="4" t="n"/>
      <c r="B127" s="8">
        <f>IF($A127="","",IFERROR(INDEX(StaffBranch,MATCH($A127,Staff,0)),""))</f>
        <v/>
      </c>
      <c r="C127" s="4" t="n"/>
      <c r="D127" s="12" t="n"/>
      <c r="E127" s="12" t="n"/>
      <c r="F127" s="28">
        <f>IF(OR($D127="",$E127=""),"",_xlfn.NETWORKDAYS.INTL($D127,$E127,Weekend))</f>
        <v/>
      </c>
      <c r="G127" s="4" t="n"/>
      <c r="H127" s="4" t="n"/>
      <c r="I127" s="8">
        <f>IF(OR($A127="",$H127='الإعدادات'!$Q$10),"",IF(COUNTIFS($B$3:$B$302,$B127,$D$3:$D$302,"&lt;="&amp;$E127,$E$3:$E$302,"&gt;="&amp;$D127,$H$3:$H$302,"&lt;&gt;"&amp;'الإعدادات'!$Q$10)&gt;1,"يتداخل مع زميل في الفرع",""))</f>
        <v/>
      </c>
    </row>
    <row r="128">
      <c r="A128" s="4" t="n"/>
      <c r="B128" s="8">
        <f>IF($A128="","",IFERROR(INDEX(StaffBranch,MATCH($A128,Staff,0)),""))</f>
        <v/>
      </c>
      <c r="C128" s="4" t="n"/>
      <c r="D128" s="12" t="n"/>
      <c r="E128" s="12" t="n"/>
      <c r="F128" s="28">
        <f>IF(OR($D128="",$E128=""),"",_xlfn.NETWORKDAYS.INTL($D128,$E128,Weekend))</f>
        <v/>
      </c>
      <c r="G128" s="4" t="n"/>
      <c r="H128" s="4" t="n"/>
      <c r="I128" s="8">
        <f>IF(OR($A128="",$H128='الإعدادات'!$Q$10),"",IF(COUNTIFS($B$3:$B$302,$B128,$D$3:$D$302,"&lt;="&amp;$E128,$E$3:$E$302,"&gt;="&amp;$D128,$H$3:$H$302,"&lt;&gt;"&amp;'الإعدادات'!$Q$10)&gt;1,"يتداخل مع زميل في الفرع",""))</f>
        <v/>
      </c>
    </row>
    <row r="129">
      <c r="A129" s="4" t="n"/>
      <c r="B129" s="8">
        <f>IF($A129="","",IFERROR(INDEX(StaffBranch,MATCH($A129,Staff,0)),""))</f>
        <v/>
      </c>
      <c r="C129" s="4" t="n"/>
      <c r="D129" s="12" t="n"/>
      <c r="E129" s="12" t="n"/>
      <c r="F129" s="28">
        <f>IF(OR($D129="",$E129=""),"",_xlfn.NETWORKDAYS.INTL($D129,$E129,Weekend))</f>
        <v/>
      </c>
      <c r="G129" s="4" t="n"/>
      <c r="H129" s="4" t="n"/>
      <c r="I129" s="8">
        <f>IF(OR($A129="",$H129='الإعدادات'!$Q$10),"",IF(COUNTIFS($B$3:$B$302,$B129,$D$3:$D$302,"&lt;="&amp;$E129,$E$3:$E$302,"&gt;="&amp;$D129,$H$3:$H$302,"&lt;&gt;"&amp;'الإعدادات'!$Q$10)&gt;1,"يتداخل مع زميل في الفرع",""))</f>
        <v/>
      </c>
    </row>
    <row r="130">
      <c r="A130" s="4" t="n"/>
      <c r="B130" s="8">
        <f>IF($A130="","",IFERROR(INDEX(StaffBranch,MATCH($A130,Staff,0)),""))</f>
        <v/>
      </c>
      <c r="C130" s="4" t="n"/>
      <c r="D130" s="12" t="n"/>
      <c r="E130" s="12" t="n"/>
      <c r="F130" s="28">
        <f>IF(OR($D130="",$E130=""),"",_xlfn.NETWORKDAYS.INTL($D130,$E130,Weekend))</f>
        <v/>
      </c>
      <c r="G130" s="4" t="n"/>
      <c r="H130" s="4" t="n"/>
      <c r="I130" s="8">
        <f>IF(OR($A130="",$H130='الإعدادات'!$Q$10),"",IF(COUNTIFS($B$3:$B$302,$B130,$D$3:$D$302,"&lt;="&amp;$E130,$E$3:$E$302,"&gt;="&amp;$D130,$H$3:$H$302,"&lt;&gt;"&amp;'الإعدادات'!$Q$10)&gt;1,"يتداخل مع زميل في الفرع",""))</f>
        <v/>
      </c>
    </row>
    <row r="131">
      <c r="A131" s="4" t="n"/>
      <c r="B131" s="8">
        <f>IF($A131="","",IFERROR(INDEX(StaffBranch,MATCH($A131,Staff,0)),""))</f>
        <v/>
      </c>
      <c r="C131" s="4" t="n"/>
      <c r="D131" s="12" t="n"/>
      <c r="E131" s="12" t="n"/>
      <c r="F131" s="28">
        <f>IF(OR($D131="",$E131=""),"",_xlfn.NETWORKDAYS.INTL($D131,$E131,Weekend))</f>
        <v/>
      </c>
      <c r="G131" s="4" t="n"/>
      <c r="H131" s="4" t="n"/>
      <c r="I131" s="8">
        <f>IF(OR($A131="",$H131='الإعدادات'!$Q$10),"",IF(COUNTIFS($B$3:$B$302,$B131,$D$3:$D$302,"&lt;="&amp;$E131,$E$3:$E$302,"&gt;="&amp;$D131,$H$3:$H$302,"&lt;&gt;"&amp;'الإعدادات'!$Q$10)&gt;1,"يتداخل مع زميل في الفرع",""))</f>
        <v/>
      </c>
    </row>
    <row r="132">
      <c r="A132" s="4" t="n"/>
      <c r="B132" s="8">
        <f>IF($A132="","",IFERROR(INDEX(StaffBranch,MATCH($A132,Staff,0)),""))</f>
        <v/>
      </c>
      <c r="C132" s="4" t="n"/>
      <c r="D132" s="12" t="n"/>
      <c r="E132" s="12" t="n"/>
      <c r="F132" s="28">
        <f>IF(OR($D132="",$E132=""),"",_xlfn.NETWORKDAYS.INTL($D132,$E132,Weekend))</f>
        <v/>
      </c>
      <c r="G132" s="4" t="n"/>
      <c r="H132" s="4" t="n"/>
      <c r="I132" s="8">
        <f>IF(OR($A132="",$H132='الإعدادات'!$Q$10),"",IF(COUNTIFS($B$3:$B$302,$B132,$D$3:$D$302,"&lt;="&amp;$E132,$E$3:$E$302,"&gt;="&amp;$D132,$H$3:$H$302,"&lt;&gt;"&amp;'الإعدادات'!$Q$10)&gt;1,"يتداخل مع زميل في الفرع",""))</f>
        <v/>
      </c>
    </row>
    <row r="133">
      <c r="A133" s="4" t="n"/>
      <c r="B133" s="8">
        <f>IF($A133="","",IFERROR(INDEX(StaffBranch,MATCH($A133,Staff,0)),""))</f>
        <v/>
      </c>
      <c r="C133" s="4" t="n"/>
      <c r="D133" s="12" t="n"/>
      <c r="E133" s="12" t="n"/>
      <c r="F133" s="28">
        <f>IF(OR($D133="",$E133=""),"",_xlfn.NETWORKDAYS.INTL($D133,$E133,Weekend))</f>
        <v/>
      </c>
      <c r="G133" s="4" t="n"/>
      <c r="H133" s="4" t="n"/>
      <c r="I133" s="8">
        <f>IF(OR($A133="",$H133='الإعدادات'!$Q$10),"",IF(COUNTIFS($B$3:$B$302,$B133,$D$3:$D$302,"&lt;="&amp;$E133,$E$3:$E$302,"&gt;="&amp;$D133,$H$3:$H$302,"&lt;&gt;"&amp;'الإعدادات'!$Q$10)&gt;1,"يتداخل مع زميل في الفرع",""))</f>
        <v/>
      </c>
    </row>
    <row r="134">
      <c r="A134" s="4" t="n"/>
      <c r="B134" s="8">
        <f>IF($A134="","",IFERROR(INDEX(StaffBranch,MATCH($A134,Staff,0)),""))</f>
        <v/>
      </c>
      <c r="C134" s="4" t="n"/>
      <c r="D134" s="12" t="n"/>
      <c r="E134" s="12" t="n"/>
      <c r="F134" s="28">
        <f>IF(OR($D134="",$E134=""),"",_xlfn.NETWORKDAYS.INTL($D134,$E134,Weekend))</f>
        <v/>
      </c>
      <c r="G134" s="4" t="n"/>
      <c r="H134" s="4" t="n"/>
      <c r="I134" s="8">
        <f>IF(OR($A134="",$H134='الإعدادات'!$Q$10),"",IF(COUNTIFS($B$3:$B$302,$B134,$D$3:$D$302,"&lt;="&amp;$E134,$E$3:$E$302,"&gt;="&amp;$D134,$H$3:$H$302,"&lt;&gt;"&amp;'الإعدادات'!$Q$10)&gt;1,"يتداخل مع زميل في الفرع",""))</f>
        <v/>
      </c>
    </row>
    <row r="135">
      <c r="A135" s="4" t="n"/>
      <c r="B135" s="8">
        <f>IF($A135="","",IFERROR(INDEX(StaffBranch,MATCH($A135,Staff,0)),""))</f>
        <v/>
      </c>
      <c r="C135" s="4" t="n"/>
      <c r="D135" s="12" t="n"/>
      <c r="E135" s="12" t="n"/>
      <c r="F135" s="28">
        <f>IF(OR($D135="",$E135=""),"",_xlfn.NETWORKDAYS.INTL($D135,$E135,Weekend))</f>
        <v/>
      </c>
      <c r="G135" s="4" t="n"/>
      <c r="H135" s="4" t="n"/>
      <c r="I135" s="8">
        <f>IF(OR($A135="",$H135='الإعدادات'!$Q$10),"",IF(COUNTIFS($B$3:$B$302,$B135,$D$3:$D$302,"&lt;="&amp;$E135,$E$3:$E$302,"&gt;="&amp;$D135,$H$3:$H$302,"&lt;&gt;"&amp;'الإعدادات'!$Q$10)&gt;1,"يتداخل مع زميل في الفرع",""))</f>
        <v/>
      </c>
    </row>
    <row r="136">
      <c r="A136" s="4" t="n"/>
      <c r="B136" s="8">
        <f>IF($A136="","",IFERROR(INDEX(StaffBranch,MATCH($A136,Staff,0)),""))</f>
        <v/>
      </c>
      <c r="C136" s="4" t="n"/>
      <c r="D136" s="12" t="n"/>
      <c r="E136" s="12" t="n"/>
      <c r="F136" s="28">
        <f>IF(OR($D136="",$E136=""),"",_xlfn.NETWORKDAYS.INTL($D136,$E136,Weekend))</f>
        <v/>
      </c>
      <c r="G136" s="4" t="n"/>
      <c r="H136" s="4" t="n"/>
      <c r="I136" s="8">
        <f>IF(OR($A136="",$H136='الإعدادات'!$Q$10),"",IF(COUNTIFS($B$3:$B$302,$B136,$D$3:$D$302,"&lt;="&amp;$E136,$E$3:$E$302,"&gt;="&amp;$D136,$H$3:$H$302,"&lt;&gt;"&amp;'الإعدادات'!$Q$10)&gt;1,"يتداخل مع زميل في الفرع",""))</f>
        <v/>
      </c>
    </row>
    <row r="137">
      <c r="A137" s="4" t="n"/>
      <c r="B137" s="8">
        <f>IF($A137="","",IFERROR(INDEX(StaffBranch,MATCH($A137,Staff,0)),""))</f>
        <v/>
      </c>
      <c r="C137" s="4" t="n"/>
      <c r="D137" s="12" t="n"/>
      <c r="E137" s="12" t="n"/>
      <c r="F137" s="28">
        <f>IF(OR($D137="",$E137=""),"",_xlfn.NETWORKDAYS.INTL($D137,$E137,Weekend))</f>
        <v/>
      </c>
      <c r="G137" s="4" t="n"/>
      <c r="H137" s="4" t="n"/>
      <c r="I137" s="8">
        <f>IF(OR($A137="",$H137='الإعدادات'!$Q$10),"",IF(COUNTIFS($B$3:$B$302,$B137,$D$3:$D$302,"&lt;="&amp;$E137,$E$3:$E$302,"&gt;="&amp;$D137,$H$3:$H$302,"&lt;&gt;"&amp;'الإعدادات'!$Q$10)&gt;1,"يتداخل مع زميل في الفرع",""))</f>
        <v/>
      </c>
    </row>
    <row r="138">
      <c r="A138" s="4" t="n"/>
      <c r="B138" s="8">
        <f>IF($A138="","",IFERROR(INDEX(StaffBranch,MATCH($A138,Staff,0)),""))</f>
        <v/>
      </c>
      <c r="C138" s="4" t="n"/>
      <c r="D138" s="12" t="n"/>
      <c r="E138" s="12" t="n"/>
      <c r="F138" s="28">
        <f>IF(OR($D138="",$E138=""),"",_xlfn.NETWORKDAYS.INTL($D138,$E138,Weekend))</f>
        <v/>
      </c>
      <c r="G138" s="4" t="n"/>
      <c r="H138" s="4" t="n"/>
      <c r="I138" s="8">
        <f>IF(OR($A138="",$H138='الإعدادات'!$Q$10),"",IF(COUNTIFS($B$3:$B$302,$B138,$D$3:$D$302,"&lt;="&amp;$E138,$E$3:$E$302,"&gt;="&amp;$D138,$H$3:$H$302,"&lt;&gt;"&amp;'الإعدادات'!$Q$10)&gt;1,"يتداخل مع زميل في الفرع",""))</f>
        <v/>
      </c>
    </row>
    <row r="139">
      <c r="A139" s="4" t="n"/>
      <c r="B139" s="8">
        <f>IF($A139="","",IFERROR(INDEX(StaffBranch,MATCH($A139,Staff,0)),""))</f>
        <v/>
      </c>
      <c r="C139" s="4" t="n"/>
      <c r="D139" s="12" t="n"/>
      <c r="E139" s="12" t="n"/>
      <c r="F139" s="28">
        <f>IF(OR($D139="",$E139=""),"",_xlfn.NETWORKDAYS.INTL($D139,$E139,Weekend))</f>
        <v/>
      </c>
      <c r="G139" s="4" t="n"/>
      <c r="H139" s="4" t="n"/>
      <c r="I139" s="8">
        <f>IF(OR($A139="",$H139='الإعدادات'!$Q$10),"",IF(COUNTIFS($B$3:$B$302,$B139,$D$3:$D$302,"&lt;="&amp;$E139,$E$3:$E$302,"&gt;="&amp;$D139,$H$3:$H$302,"&lt;&gt;"&amp;'الإعدادات'!$Q$10)&gt;1,"يتداخل مع زميل في الفرع",""))</f>
        <v/>
      </c>
    </row>
    <row r="140">
      <c r="A140" s="4" t="n"/>
      <c r="B140" s="8">
        <f>IF($A140="","",IFERROR(INDEX(StaffBranch,MATCH($A140,Staff,0)),""))</f>
        <v/>
      </c>
      <c r="C140" s="4" t="n"/>
      <c r="D140" s="12" t="n"/>
      <c r="E140" s="12" t="n"/>
      <c r="F140" s="28">
        <f>IF(OR($D140="",$E140=""),"",_xlfn.NETWORKDAYS.INTL($D140,$E140,Weekend))</f>
        <v/>
      </c>
      <c r="G140" s="4" t="n"/>
      <c r="H140" s="4" t="n"/>
      <c r="I140" s="8">
        <f>IF(OR($A140="",$H140='الإعدادات'!$Q$10),"",IF(COUNTIFS($B$3:$B$302,$B140,$D$3:$D$302,"&lt;="&amp;$E140,$E$3:$E$302,"&gt;="&amp;$D140,$H$3:$H$302,"&lt;&gt;"&amp;'الإعدادات'!$Q$10)&gt;1,"يتداخل مع زميل في الفرع",""))</f>
        <v/>
      </c>
    </row>
    <row r="141">
      <c r="A141" s="4" t="n"/>
      <c r="B141" s="8">
        <f>IF($A141="","",IFERROR(INDEX(StaffBranch,MATCH($A141,Staff,0)),""))</f>
        <v/>
      </c>
      <c r="C141" s="4" t="n"/>
      <c r="D141" s="12" t="n"/>
      <c r="E141" s="12" t="n"/>
      <c r="F141" s="28">
        <f>IF(OR($D141="",$E141=""),"",_xlfn.NETWORKDAYS.INTL($D141,$E141,Weekend))</f>
        <v/>
      </c>
      <c r="G141" s="4" t="n"/>
      <c r="H141" s="4" t="n"/>
      <c r="I141" s="8">
        <f>IF(OR($A141="",$H141='الإعدادات'!$Q$10),"",IF(COUNTIFS($B$3:$B$302,$B141,$D$3:$D$302,"&lt;="&amp;$E141,$E$3:$E$302,"&gt;="&amp;$D141,$H$3:$H$302,"&lt;&gt;"&amp;'الإعدادات'!$Q$10)&gt;1,"يتداخل مع زميل في الفرع",""))</f>
        <v/>
      </c>
    </row>
    <row r="142">
      <c r="A142" s="4" t="n"/>
      <c r="B142" s="8">
        <f>IF($A142="","",IFERROR(INDEX(StaffBranch,MATCH($A142,Staff,0)),""))</f>
        <v/>
      </c>
      <c r="C142" s="4" t="n"/>
      <c r="D142" s="12" t="n"/>
      <c r="E142" s="12" t="n"/>
      <c r="F142" s="28">
        <f>IF(OR($D142="",$E142=""),"",_xlfn.NETWORKDAYS.INTL($D142,$E142,Weekend))</f>
        <v/>
      </c>
      <c r="G142" s="4" t="n"/>
      <c r="H142" s="4" t="n"/>
      <c r="I142" s="8">
        <f>IF(OR($A142="",$H142='الإعدادات'!$Q$10),"",IF(COUNTIFS($B$3:$B$302,$B142,$D$3:$D$302,"&lt;="&amp;$E142,$E$3:$E$302,"&gt;="&amp;$D142,$H$3:$H$302,"&lt;&gt;"&amp;'الإعدادات'!$Q$10)&gt;1,"يتداخل مع زميل في الفرع",""))</f>
        <v/>
      </c>
    </row>
    <row r="143">
      <c r="A143" s="4" t="n"/>
      <c r="B143" s="8">
        <f>IF($A143="","",IFERROR(INDEX(StaffBranch,MATCH($A143,Staff,0)),""))</f>
        <v/>
      </c>
      <c r="C143" s="4" t="n"/>
      <c r="D143" s="12" t="n"/>
      <c r="E143" s="12" t="n"/>
      <c r="F143" s="28">
        <f>IF(OR($D143="",$E143=""),"",_xlfn.NETWORKDAYS.INTL($D143,$E143,Weekend))</f>
        <v/>
      </c>
      <c r="G143" s="4" t="n"/>
      <c r="H143" s="4" t="n"/>
      <c r="I143" s="8">
        <f>IF(OR($A143="",$H143='الإعدادات'!$Q$10),"",IF(COUNTIFS($B$3:$B$302,$B143,$D$3:$D$302,"&lt;="&amp;$E143,$E$3:$E$302,"&gt;="&amp;$D143,$H$3:$H$302,"&lt;&gt;"&amp;'الإعدادات'!$Q$10)&gt;1,"يتداخل مع زميل في الفرع",""))</f>
        <v/>
      </c>
    </row>
    <row r="144">
      <c r="A144" s="4" t="n"/>
      <c r="B144" s="8">
        <f>IF($A144="","",IFERROR(INDEX(StaffBranch,MATCH($A144,Staff,0)),""))</f>
        <v/>
      </c>
      <c r="C144" s="4" t="n"/>
      <c r="D144" s="12" t="n"/>
      <c r="E144" s="12" t="n"/>
      <c r="F144" s="28">
        <f>IF(OR($D144="",$E144=""),"",_xlfn.NETWORKDAYS.INTL($D144,$E144,Weekend))</f>
        <v/>
      </c>
      <c r="G144" s="4" t="n"/>
      <c r="H144" s="4" t="n"/>
      <c r="I144" s="8">
        <f>IF(OR($A144="",$H144='الإعدادات'!$Q$10),"",IF(COUNTIFS($B$3:$B$302,$B144,$D$3:$D$302,"&lt;="&amp;$E144,$E$3:$E$302,"&gt;="&amp;$D144,$H$3:$H$302,"&lt;&gt;"&amp;'الإعدادات'!$Q$10)&gt;1,"يتداخل مع زميل في الفرع",""))</f>
        <v/>
      </c>
    </row>
    <row r="145">
      <c r="A145" s="4" t="n"/>
      <c r="B145" s="8">
        <f>IF($A145="","",IFERROR(INDEX(StaffBranch,MATCH($A145,Staff,0)),""))</f>
        <v/>
      </c>
      <c r="C145" s="4" t="n"/>
      <c r="D145" s="12" t="n"/>
      <c r="E145" s="12" t="n"/>
      <c r="F145" s="28">
        <f>IF(OR($D145="",$E145=""),"",_xlfn.NETWORKDAYS.INTL($D145,$E145,Weekend))</f>
        <v/>
      </c>
      <c r="G145" s="4" t="n"/>
      <c r="H145" s="4" t="n"/>
      <c r="I145" s="8">
        <f>IF(OR($A145="",$H145='الإعدادات'!$Q$10),"",IF(COUNTIFS($B$3:$B$302,$B145,$D$3:$D$302,"&lt;="&amp;$E145,$E$3:$E$302,"&gt;="&amp;$D145,$H$3:$H$302,"&lt;&gt;"&amp;'الإعدادات'!$Q$10)&gt;1,"يتداخل مع زميل في الفرع",""))</f>
        <v/>
      </c>
    </row>
    <row r="146">
      <c r="A146" s="4" t="n"/>
      <c r="B146" s="8">
        <f>IF($A146="","",IFERROR(INDEX(StaffBranch,MATCH($A146,Staff,0)),""))</f>
        <v/>
      </c>
      <c r="C146" s="4" t="n"/>
      <c r="D146" s="12" t="n"/>
      <c r="E146" s="12" t="n"/>
      <c r="F146" s="28">
        <f>IF(OR($D146="",$E146=""),"",_xlfn.NETWORKDAYS.INTL($D146,$E146,Weekend))</f>
        <v/>
      </c>
      <c r="G146" s="4" t="n"/>
      <c r="H146" s="4" t="n"/>
      <c r="I146" s="8">
        <f>IF(OR($A146="",$H146='الإعدادات'!$Q$10),"",IF(COUNTIFS($B$3:$B$302,$B146,$D$3:$D$302,"&lt;="&amp;$E146,$E$3:$E$302,"&gt;="&amp;$D146,$H$3:$H$302,"&lt;&gt;"&amp;'الإعدادات'!$Q$10)&gt;1,"يتداخل مع زميل في الفرع",""))</f>
        <v/>
      </c>
    </row>
    <row r="147">
      <c r="A147" s="4" t="n"/>
      <c r="B147" s="8">
        <f>IF($A147="","",IFERROR(INDEX(StaffBranch,MATCH($A147,Staff,0)),""))</f>
        <v/>
      </c>
      <c r="C147" s="4" t="n"/>
      <c r="D147" s="12" t="n"/>
      <c r="E147" s="12" t="n"/>
      <c r="F147" s="28">
        <f>IF(OR($D147="",$E147=""),"",_xlfn.NETWORKDAYS.INTL($D147,$E147,Weekend))</f>
        <v/>
      </c>
      <c r="G147" s="4" t="n"/>
      <c r="H147" s="4" t="n"/>
      <c r="I147" s="8">
        <f>IF(OR($A147="",$H147='الإعدادات'!$Q$10),"",IF(COUNTIFS($B$3:$B$302,$B147,$D$3:$D$302,"&lt;="&amp;$E147,$E$3:$E$302,"&gt;="&amp;$D147,$H$3:$H$302,"&lt;&gt;"&amp;'الإعدادات'!$Q$10)&gt;1,"يتداخل مع زميل في الفرع",""))</f>
        <v/>
      </c>
    </row>
    <row r="148">
      <c r="A148" s="4" t="n"/>
      <c r="B148" s="8">
        <f>IF($A148="","",IFERROR(INDEX(StaffBranch,MATCH($A148,Staff,0)),""))</f>
        <v/>
      </c>
      <c r="C148" s="4" t="n"/>
      <c r="D148" s="12" t="n"/>
      <c r="E148" s="12" t="n"/>
      <c r="F148" s="28">
        <f>IF(OR($D148="",$E148=""),"",_xlfn.NETWORKDAYS.INTL($D148,$E148,Weekend))</f>
        <v/>
      </c>
      <c r="G148" s="4" t="n"/>
      <c r="H148" s="4" t="n"/>
      <c r="I148" s="8">
        <f>IF(OR($A148="",$H148='الإعدادات'!$Q$10),"",IF(COUNTIFS($B$3:$B$302,$B148,$D$3:$D$302,"&lt;="&amp;$E148,$E$3:$E$302,"&gt;="&amp;$D148,$H$3:$H$302,"&lt;&gt;"&amp;'الإعدادات'!$Q$10)&gt;1,"يتداخل مع زميل في الفرع",""))</f>
        <v/>
      </c>
    </row>
    <row r="149">
      <c r="A149" s="4" t="n"/>
      <c r="B149" s="8">
        <f>IF($A149="","",IFERROR(INDEX(StaffBranch,MATCH($A149,Staff,0)),""))</f>
        <v/>
      </c>
      <c r="C149" s="4" t="n"/>
      <c r="D149" s="12" t="n"/>
      <c r="E149" s="12" t="n"/>
      <c r="F149" s="28">
        <f>IF(OR($D149="",$E149=""),"",_xlfn.NETWORKDAYS.INTL($D149,$E149,Weekend))</f>
        <v/>
      </c>
      <c r="G149" s="4" t="n"/>
      <c r="H149" s="4" t="n"/>
      <c r="I149" s="8">
        <f>IF(OR($A149="",$H149='الإعدادات'!$Q$10),"",IF(COUNTIFS($B$3:$B$302,$B149,$D$3:$D$302,"&lt;="&amp;$E149,$E$3:$E$302,"&gt;="&amp;$D149,$H$3:$H$302,"&lt;&gt;"&amp;'الإعدادات'!$Q$10)&gt;1,"يتداخل مع زميل في الفرع",""))</f>
        <v/>
      </c>
    </row>
    <row r="150">
      <c r="A150" s="4" t="n"/>
      <c r="B150" s="8">
        <f>IF($A150="","",IFERROR(INDEX(StaffBranch,MATCH($A150,Staff,0)),""))</f>
        <v/>
      </c>
      <c r="C150" s="4" t="n"/>
      <c r="D150" s="12" t="n"/>
      <c r="E150" s="12" t="n"/>
      <c r="F150" s="28">
        <f>IF(OR($D150="",$E150=""),"",_xlfn.NETWORKDAYS.INTL($D150,$E150,Weekend))</f>
        <v/>
      </c>
      <c r="G150" s="4" t="n"/>
      <c r="H150" s="4" t="n"/>
      <c r="I150" s="8">
        <f>IF(OR($A150="",$H150='الإعدادات'!$Q$10),"",IF(COUNTIFS($B$3:$B$302,$B150,$D$3:$D$302,"&lt;="&amp;$E150,$E$3:$E$302,"&gt;="&amp;$D150,$H$3:$H$302,"&lt;&gt;"&amp;'الإعدادات'!$Q$10)&gt;1,"يتداخل مع زميل في الفرع",""))</f>
        <v/>
      </c>
    </row>
    <row r="151">
      <c r="A151" s="4" t="n"/>
      <c r="B151" s="8">
        <f>IF($A151="","",IFERROR(INDEX(StaffBranch,MATCH($A151,Staff,0)),""))</f>
        <v/>
      </c>
      <c r="C151" s="4" t="n"/>
      <c r="D151" s="12" t="n"/>
      <c r="E151" s="12" t="n"/>
      <c r="F151" s="28">
        <f>IF(OR($D151="",$E151=""),"",_xlfn.NETWORKDAYS.INTL($D151,$E151,Weekend))</f>
        <v/>
      </c>
      <c r="G151" s="4" t="n"/>
      <c r="H151" s="4" t="n"/>
      <c r="I151" s="8">
        <f>IF(OR($A151="",$H151='الإعدادات'!$Q$10),"",IF(COUNTIFS($B$3:$B$302,$B151,$D$3:$D$302,"&lt;="&amp;$E151,$E$3:$E$302,"&gt;="&amp;$D151,$H$3:$H$302,"&lt;&gt;"&amp;'الإعدادات'!$Q$10)&gt;1,"يتداخل مع زميل في الفرع",""))</f>
        <v/>
      </c>
    </row>
    <row r="152">
      <c r="A152" s="4" t="n"/>
      <c r="B152" s="8">
        <f>IF($A152="","",IFERROR(INDEX(StaffBranch,MATCH($A152,Staff,0)),""))</f>
        <v/>
      </c>
      <c r="C152" s="4" t="n"/>
      <c r="D152" s="12" t="n"/>
      <c r="E152" s="12" t="n"/>
      <c r="F152" s="28">
        <f>IF(OR($D152="",$E152=""),"",_xlfn.NETWORKDAYS.INTL($D152,$E152,Weekend))</f>
        <v/>
      </c>
      <c r="G152" s="4" t="n"/>
      <c r="H152" s="4" t="n"/>
      <c r="I152" s="8">
        <f>IF(OR($A152="",$H152='الإعدادات'!$Q$10),"",IF(COUNTIFS($B$3:$B$302,$B152,$D$3:$D$302,"&lt;="&amp;$E152,$E$3:$E$302,"&gt;="&amp;$D152,$H$3:$H$302,"&lt;&gt;"&amp;'الإعدادات'!$Q$10)&gt;1,"يتداخل مع زميل في الفرع",""))</f>
        <v/>
      </c>
    </row>
    <row r="153">
      <c r="A153" s="4" t="n"/>
      <c r="B153" s="8">
        <f>IF($A153="","",IFERROR(INDEX(StaffBranch,MATCH($A153,Staff,0)),""))</f>
        <v/>
      </c>
      <c r="C153" s="4" t="n"/>
      <c r="D153" s="12" t="n"/>
      <c r="E153" s="12" t="n"/>
      <c r="F153" s="28">
        <f>IF(OR($D153="",$E153=""),"",_xlfn.NETWORKDAYS.INTL($D153,$E153,Weekend))</f>
        <v/>
      </c>
      <c r="G153" s="4" t="n"/>
      <c r="H153" s="4" t="n"/>
      <c r="I153" s="8">
        <f>IF(OR($A153="",$H153='الإعدادات'!$Q$10),"",IF(COUNTIFS($B$3:$B$302,$B153,$D$3:$D$302,"&lt;="&amp;$E153,$E$3:$E$302,"&gt;="&amp;$D153,$H$3:$H$302,"&lt;&gt;"&amp;'الإعدادات'!$Q$10)&gt;1,"يتداخل مع زميل في الفرع",""))</f>
        <v/>
      </c>
    </row>
    <row r="154">
      <c r="A154" s="4" t="n"/>
      <c r="B154" s="8">
        <f>IF($A154="","",IFERROR(INDEX(StaffBranch,MATCH($A154,Staff,0)),""))</f>
        <v/>
      </c>
      <c r="C154" s="4" t="n"/>
      <c r="D154" s="12" t="n"/>
      <c r="E154" s="12" t="n"/>
      <c r="F154" s="28">
        <f>IF(OR($D154="",$E154=""),"",_xlfn.NETWORKDAYS.INTL($D154,$E154,Weekend))</f>
        <v/>
      </c>
      <c r="G154" s="4" t="n"/>
      <c r="H154" s="4" t="n"/>
      <c r="I154" s="8">
        <f>IF(OR($A154="",$H154='الإعدادات'!$Q$10),"",IF(COUNTIFS($B$3:$B$302,$B154,$D$3:$D$302,"&lt;="&amp;$E154,$E$3:$E$302,"&gt;="&amp;$D154,$H$3:$H$302,"&lt;&gt;"&amp;'الإعدادات'!$Q$10)&gt;1,"يتداخل مع زميل في الفرع",""))</f>
        <v/>
      </c>
    </row>
    <row r="155">
      <c r="A155" s="4" t="n"/>
      <c r="B155" s="8">
        <f>IF($A155="","",IFERROR(INDEX(StaffBranch,MATCH($A155,Staff,0)),""))</f>
        <v/>
      </c>
      <c r="C155" s="4" t="n"/>
      <c r="D155" s="12" t="n"/>
      <c r="E155" s="12" t="n"/>
      <c r="F155" s="28">
        <f>IF(OR($D155="",$E155=""),"",_xlfn.NETWORKDAYS.INTL($D155,$E155,Weekend))</f>
        <v/>
      </c>
      <c r="G155" s="4" t="n"/>
      <c r="H155" s="4" t="n"/>
      <c r="I155" s="8">
        <f>IF(OR($A155="",$H155='الإعدادات'!$Q$10),"",IF(COUNTIFS($B$3:$B$302,$B155,$D$3:$D$302,"&lt;="&amp;$E155,$E$3:$E$302,"&gt;="&amp;$D155,$H$3:$H$302,"&lt;&gt;"&amp;'الإعدادات'!$Q$10)&gt;1,"يتداخل مع زميل في الفرع",""))</f>
        <v/>
      </c>
    </row>
    <row r="156">
      <c r="A156" s="4" t="n"/>
      <c r="B156" s="8">
        <f>IF($A156="","",IFERROR(INDEX(StaffBranch,MATCH($A156,Staff,0)),""))</f>
        <v/>
      </c>
      <c r="C156" s="4" t="n"/>
      <c r="D156" s="12" t="n"/>
      <c r="E156" s="12" t="n"/>
      <c r="F156" s="28">
        <f>IF(OR($D156="",$E156=""),"",_xlfn.NETWORKDAYS.INTL($D156,$E156,Weekend))</f>
        <v/>
      </c>
      <c r="G156" s="4" t="n"/>
      <c r="H156" s="4" t="n"/>
      <c r="I156" s="8">
        <f>IF(OR($A156="",$H156='الإعدادات'!$Q$10),"",IF(COUNTIFS($B$3:$B$302,$B156,$D$3:$D$302,"&lt;="&amp;$E156,$E$3:$E$302,"&gt;="&amp;$D156,$H$3:$H$302,"&lt;&gt;"&amp;'الإعدادات'!$Q$10)&gt;1,"يتداخل مع زميل في الفرع",""))</f>
        <v/>
      </c>
    </row>
    <row r="157">
      <c r="A157" s="4" t="n"/>
      <c r="B157" s="8">
        <f>IF($A157="","",IFERROR(INDEX(StaffBranch,MATCH($A157,Staff,0)),""))</f>
        <v/>
      </c>
      <c r="C157" s="4" t="n"/>
      <c r="D157" s="12" t="n"/>
      <c r="E157" s="12" t="n"/>
      <c r="F157" s="28">
        <f>IF(OR($D157="",$E157=""),"",_xlfn.NETWORKDAYS.INTL($D157,$E157,Weekend))</f>
        <v/>
      </c>
      <c r="G157" s="4" t="n"/>
      <c r="H157" s="4" t="n"/>
      <c r="I157" s="8">
        <f>IF(OR($A157="",$H157='الإعدادات'!$Q$10),"",IF(COUNTIFS($B$3:$B$302,$B157,$D$3:$D$302,"&lt;="&amp;$E157,$E$3:$E$302,"&gt;="&amp;$D157,$H$3:$H$302,"&lt;&gt;"&amp;'الإعدادات'!$Q$10)&gt;1,"يتداخل مع زميل في الفرع",""))</f>
        <v/>
      </c>
    </row>
    <row r="158">
      <c r="A158" s="4" t="n"/>
      <c r="B158" s="8">
        <f>IF($A158="","",IFERROR(INDEX(StaffBranch,MATCH($A158,Staff,0)),""))</f>
        <v/>
      </c>
      <c r="C158" s="4" t="n"/>
      <c r="D158" s="12" t="n"/>
      <c r="E158" s="12" t="n"/>
      <c r="F158" s="28">
        <f>IF(OR($D158="",$E158=""),"",_xlfn.NETWORKDAYS.INTL($D158,$E158,Weekend))</f>
        <v/>
      </c>
      <c r="G158" s="4" t="n"/>
      <c r="H158" s="4" t="n"/>
      <c r="I158" s="8">
        <f>IF(OR($A158="",$H158='الإعدادات'!$Q$10),"",IF(COUNTIFS($B$3:$B$302,$B158,$D$3:$D$302,"&lt;="&amp;$E158,$E$3:$E$302,"&gt;="&amp;$D158,$H$3:$H$302,"&lt;&gt;"&amp;'الإعدادات'!$Q$10)&gt;1,"يتداخل مع زميل في الفرع",""))</f>
        <v/>
      </c>
    </row>
    <row r="159">
      <c r="A159" s="4" t="n"/>
      <c r="B159" s="8">
        <f>IF($A159="","",IFERROR(INDEX(StaffBranch,MATCH($A159,Staff,0)),""))</f>
        <v/>
      </c>
      <c r="C159" s="4" t="n"/>
      <c r="D159" s="12" t="n"/>
      <c r="E159" s="12" t="n"/>
      <c r="F159" s="28">
        <f>IF(OR($D159="",$E159=""),"",_xlfn.NETWORKDAYS.INTL($D159,$E159,Weekend))</f>
        <v/>
      </c>
      <c r="G159" s="4" t="n"/>
      <c r="H159" s="4" t="n"/>
      <c r="I159" s="8">
        <f>IF(OR($A159="",$H159='الإعدادات'!$Q$10),"",IF(COUNTIFS($B$3:$B$302,$B159,$D$3:$D$302,"&lt;="&amp;$E159,$E$3:$E$302,"&gt;="&amp;$D159,$H$3:$H$302,"&lt;&gt;"&amp;'الإعدادات'!$Q$10)&gt;1,"يتداخل مع زميل في الفرع",""))</f>
        <v/>
      </c>
    </row>
    <row r="160">
      <c r="A160" s="4" t="n"/>
      <c r="B160" s="8">
        <f>IF($A160="","",IFERROR(INDEX(StaffBranch,MATCH($A160,Staff,0)),""))</f>
        <v/>
      </c>
      <c r="C160" s="4" t="n"/>
      <c r="D160" s="12" t="n"/>
      <c r="E160" s="12" t="n"/>
      <c r="F160" s="28">
        <f>IF(OR($D160="",$E160=""),"",_xlfn.NETWORKDAYS.INTL($D160,$E160,Weekend))</f>
        <v/>
      </c>
      <c r="G160" s="4" t="n"/>
      <c r="H160" s="4" t="n"/>
      <c r="I160" s="8">
        <f>IF(OR($A160="",$H160='الإعدادات'!$Q$10),"",IF(COUNTIFS($B$3:$B$302,$B160,$D$3:$D$302,"&lt;="&amp;$E160,$E$3:$E$302,"&gt;="&amp;$D160,$H$3:$H$302,"&lt;&gt;"&amp;'الإعدادات'!$Q$10)&gt;1,"يتداخل مع زميل في الفرع",""))</f>
        <v/>
      </c>
    </row>
    <row r="161">
      <c r="A161" s="4" t="n"/>
      <c r="B161" s="8">
        <f>IF($A161="","",IFERROR(INDEX(StaffBranch,MATCH($A161,Staff,0)),""))</f>
        <v/>
      </c>
      <c r="C161" s="4" t="n"/>
      <c r="D161" s="12" t="n"/>
      <c r="E161" s="12" t="n"/>
      <c r="F161" s="28">
        <f>IF(OR($D161="",$E161=""),"",_xlfn.NETWORKDAYS.INTL($D161,$E161,Weekend))</f>
        <v/>
      </c>
      <c r="G161" s="4" t="n"/>
      <c r="H161" s="4" t="n"/>
      <c r="I161" s="8">
        <f>IF(OR($A161="",$H161='الإعدادات'!$Q$10),"",IF(COUNTIFS($B$3:$B$302,$B161,$D$3:$D$302,"&lt;="&amp;$E161,$E$3:$E$302,"&gt;="&amp;$D161,$H$3:$H$302,"&lt;&gt;"&amp;'الإعدادات'!$Q$10)&gt;1,"يتداخل مع زميل في الفرع",""))</f>
        <v/>
      </c>
    </row>
    <row r="162">
      <c r="A162" s="4" t="n"/>
      <c r="B162" s="8">
        <f>IF($A162="","",IFERROR(INDEX(StaffBranch,MATCH($A162,Staff,0)),""))</f>
        <v/>
      </c>
      <c r="C162" s="4" t="n"/>
      <c r="D162" s="12" t="n"/>
      <c r="E162" s="12" t="n"/>
      <c r="F162" s="28">
        <f>IF(OR($D162="",$E162=""),"",_xlfn.NETWORKDAYS.INTL($D162,$E162,Weekend))</f>
        <v/>
      </c>
      <c r="G162" s="4" t="n"/>
      <c r="H162" s="4" t="n"/>
      <c r="I162" s="8">
        <f>IF(OR($A162="",$H162='الإعدادات'!$Q$10),"",IF(COUNTIFS($B$3:$B$302,$B162,$D$3:$D$302,"&lt;="&amp;$E162,$E$3:$E$302,"&gt;="&amp;$D162,$H$3:$H$302,"&lt;&gt;"&amp;'الإعدادات'!$Q$10)&gt;1,"يتداخل مع زميل في الفرع",""))</f>
        <v/>
      </c>
    </row>
    <row r="163">
      <c r="A163" s="4" t="n"/>
      <c r="B163" s="8">
        <f>IF($A163="","",IFERROR(INDEX(StaffBranch,MATCH($A163,Staff,0)),""))</f>
        <v/>
      </c>
      <c r="C163" s="4" t="n"/>
      <c r="D163" s="12" t="n"/>
      <c r="E163" s="12" t="n"/>
      <c r="F163" s="28">
        <f>IF(OR($D163="",$E163=""),"",_xlfn.NETWORKDAYS.INTL($D163,$E163,Weekend))</f>
        <v/>
      </c>
      <c r="G163" s="4" t="n"/>
      <c r="H163" s="4" t="n"/>
      <c r="I163" s="8">
        <f>IF(OR($A163="",$H163='الإعدادات'!$Q$10),"",IF(COUNTIFS($B$3:$B$302,$B163,$D$3:$D$302,"&lt;="&amp;$E163,$E$3:$E$302,"&gt;="&amp;$D163,$H$3:$H$302,"&lt;&gt;"&amp;'الإعدادات'!$Q$10)&gt;1,"يتداخل مع زميل في الفرع",""))</f>
        <v/>
      </c>
    </row>
    <row r="164">
      <c r="A164" s="4" t="n"/>
      <c r="B164" s="8">
        <f>IF($A164="","",IFERROR(INDEX(StaffBranch,MATCH($A164,Staff,0)),""))</f>
        <v/>
      </c>
      <c r="C164" s="4" t="n"/>
      <c r="D164" s="12" t="n"/>
      <c r="E164" s="12" t="n"/>
      <c r="F164" s="28">
        <f>IF(OR($D164="",$E164=""),"",_xlfn.NETWORKDAYS.INTL($D164,$E164,Weekend))</f>
        <v/>
      </c>
      <c r="G164" s="4" t="n"/>
      <c r="H164" s="4" t="n"/>
      <c r="I164" s="8">
        <f>IF(OR($A164="",$H164='الإعدادات'!$Q$10),"",IF(COUNTIFS($B$3:$B$302,$B164,$D$3:$D$302,"&lt;="&amp;$E164,$E$3:$E$302,"&gt;="&amp;$D164,$H$3:$H$302,"&lt;&gt;"&amp;'الإعدادات'!$Q$10)&gt;1,"يتداخل مع زميل في الفرع",""))</f>
        <v/>
      </c>
    </row>
    <row r="165">
      <c r="A165" s="4" t="n"/>
      <c r="B165" s="8">
        <f>IF($A165="","",IFERROR(INDEX(StaffBranch,MATCH($A165,Staff,0)),""))</f>
        <v/>
      </c>
      <c r="C165" s="4" t="n"/>
      <c r="D165" s="12" t="n"/>
      <c r="E165" s="12" t="n"/>
      <c r="F165" s="28">
        <f>IF(OR($D165="",$E165=""),"",_xlfn.NETWORKDAYS.INTL($D165,$E165,Weekend))</f>
        <v/>
      </c>
      <c r="G165" s="4" t="n"/>
      <c r="H165" s="4" t="n"/>
      <c r="I165" s="8">
        <f>IF(OR($A165="",$H165='الإعدادات'!$Q$10),"",IF(COUNTIFS($B$3:$B$302,$B165,$D$3:$D$302,"&lt;="&amp;$E165,$E$3:$E$302,"&gt;="&amp;$D165,$H$3:$H$302,"&lt;&gt;"&amp;'الإعدادات'!$Q$10)&gt;1,"يتداخل مع زميل في الفرع",""))</f>
        <v/>
      </c>
    </row>
    <row r="166">
      <c r="A166" s="4" t="n"/>
      <c r="B166" s="8">
        <f>IF($A166="","",IFERROR(INDEX(StaffBranch,MATCH($A166,Staff,0)),""))</f>
        <v/>
      </c>
      <c r="C166" s="4" t="n"/>
      <c r="D166" s="12" t="n"/>
      <c r="E166" s="12" t="n"/>
      <c r="F166" s="28">
        <f>IF(OR($D166="",$E166=""),"",_xlfn.NETWORKDAYS.INTL($D166,$E166,Weekend))</f>
        <v/>
      </c>
      <c r="G166" s="4" t="n"/>
      <c r="H166" s="4" t="n"/>
      <c r="I166" s="8">
        <f>IF(OR($A166="",$H166='الإعدادات'!$Q$10),"",IF(COUNTIFS($B$3:$B$302,$B166,$D$3:$D$302,"&lt;="&amp;$E166,$E$3:$E$302,"&gt;="&amp;$D166,$H$3:$H$302,"&lt;&gt;"&amp;'الإعدادات'!$Q$10)&gt;1,"يتداخل مع زميل في الفرع",""))</f>
        <v/>
      </c>
    </row>
    <row r="167">
      <c r="A167" s="4" t="n"/>
      <c r="B167" s="8">
        <f>IF($A167="","",IFERROR(INDEX(StaffBranch,MATCH($A167,Staff,0)),""))</f>
        <v/>
      </c>
      <c r="C167" s="4" t="n"/>
      <c r="D167" s="12" t="n"/>
      <c r="E167" s="12" t="n"/>
      <c r="F167" s="28">
        <f>IF(OR($D167="",$E167=""),"",_xlfn.NETWORKDAYS.INTL($D167,$E167,Weekend))</f>
        <v/>
      </c>
      <c r="G167" s="4" t="n"/>
      <c r="H167" s="4" t="n"/>
      <c r="I167" s="8">
        <f>IF(OR($A167="",$H167='الإعدادات'!$Q$10),"",IF(COUNTIFS($B$3:$B$302,$B167,$D$3:$D$302,"&lt;="&amp;$E167,$E$3:$E$302,"&gt;="&amp;$D167,$H$3:$H$302,"&lt;&gt;"&amp;'الإعدادات'!$Q$10)&gt;1,"يتداخل مع زميل في الفرع",""))</f>
        <v/>
      </c>
    </row>
    <row r="168">
      <c r="A168" s="4" t="n"/>
      <c r="B168" s="8">
        <f>IF($A168="","",IFERROR(INDEX(StaffBranch,MATCH($A168,Staff,0)),""))</f>
        <v/>
      </c>
      <c r="C168" s="4" t="n"/>
      <c r="D168" s="12" t="n"/>
      <c r="E168" s="12" t="n"/>
      <c r="F168" s="28">
        <f>IF(OR($D168="",$E168=""),"",_xlfn.NETWORKDAYS.INTL($D168,$E168,Weekend))</f>
        <v/>
      </c>
      <c r="G168" s="4" t="n"/>
      <c r="H168" s="4" t="n"/>
      <c r="I168" s="8">
        <f>IF(OR($A168="",$H168='الإعدادات'!$Q$10),"",IF(COUNTIFS($B$3:$B$302,$B168,$D$3:$D$302,"&lt;="&amp;$E168,$E$3:$E$302,"&gt;="&amp;$D168,$H$3:$H$302,"&lt;&gt;"&amp;'الإعدادات'!$Q$10)&gt;1,"يتداخل مع زميل في الفرع",""))</f>
        <v/>
      </c>
    </row>
    <row r="169">
      <c r="A169" s="4" t="n"/>
      <c r="B169" s="8">
        <f>IF($A169="","",IFERROR(INDEX(StaffBranch,MATCH($A169,Staff,0)),""))</f>
        <v/>
      </c>
      <c r="C169" s="4" t="n"/>
      <c r="D169" s="12" t="n"/>
      <c r="E169" s="12" t="n"/>
      <c r="F169" s="28">
        <f>IF(OR($D169="",$E169=""),"",_xlfn.NETWORKDAYS.INTL($D169,$E169,Weekend))</f>
        <v/>
      </c>
      <c r="G169" s="4" t="n"/>
      <c r="H169" s="4" t="n"/>
      <c r="I169" s="8">
        <f>IF(OR($A169="",$H169='الإعدادات'!$Q$10),"",IF(COUNTIFS($B$3:$B$302,$B169,$D$3:$D$302,"&lt;="&amp;$E169,$E$3:$E$302,"&gt;="&amp;$D169,$H$3:$H$302,"&lt;&gt;"&amp;'الإعدادات'!$Q$10)&gt;1,"يتداخل مع زميل في الفرع",""))</f>
        <v/>
      </c>
    </row>
    <row r="170">
      <c r="A170" s="4" t="n"/>
      <c r="B170" s="8">
        <f>IF($A170="","",IFERROR(INDEX(StaffBranch,MATCH($A170,Staff,0)),""))</f>
        <v/>
      </c>
      <c r="C170" s="4" t="n"/>
      <c r="D170" s="12" t="n"/>
      <c r="E170" s="12" t="n"/>
      <c r="F170" s="28">
        <f>IF(OR($D170="",$E170=""),"",_xlfn.NETWORKDAYS.INTL($D170,$E170,Weekend))</f>
        <v/>
      </c>
      <c r="G170" s="4" t="n"/>
      <c r="H170" s="4" t="n"/>
      <c r="I170" s="8">
        <f>IF(OR($A170="",$H170='الإعدادات'!$Q$10),"",IF(COUNTIFS($B$3:$B$302,$B170,$D$3:$D$302,"&lt;="&amp;$E170,$E$3:$E$302,"&gt;="&amp;$D170,$H$3:$H$302,"&lt;&gt;"&amp;'الإعدادات'!$Q$10)&gt;1,"يتداخل مع زميل في الفرع",""))</f>
        <v/>
      </c>
    </row>
    <row r="171">
      <c r="A171" s="4" t="n"/>
      <c r="B171" s="8">
        <f>IF($A171="","",IFERROR(INDEX(StaffBranch,MATCH($A171,Staff,0)),""))</f>
        <v/>
      </c>
      <c r="C171" s="4" t="n"/>
      <c r="D171" s="12" t="n"/>
      <c r="E171" s="12" t="n"/>
      <c r="F171" s="28">
        <f>IF(OR($D171="",$E171=""),"",_xlfn.NETWORKDAYS.INTL($D171,$E171,Weekend))</f>
        <v/>
      </c>
      <c r="G171" s="4" t="n"/>
      <c r="H171" s="4" t="n"/>
      <c r="I171" s="8">
        <f>IF(OR($A171="",$H171='الإعدادات'!$Q$10),"",IF(COUNTIFS($B$3:$B$302,$B171,$D$3:$D$302,"&lt;="&amp;$E171,$E$3:$E$302,"&gt;="&amp;$D171,$H$3:$H$302,"&lt;&gt;"&amp;'الإعدادات'!$Q$10)&gt;1,"يتداخل مع زميل في الفرع",""))</f>
        <v/>
      </c>
    </row>
    <row r="172">
      <c r="A172" s="4" t="n"/>
      <c r="B172" s="8">
        <f>IF($A172="","",IFERROR(INDEX(StaffBranch,MATCH($A172,Staff,0)),""))</f>
        <v/>
      </c>
      <c r="C172" s="4" t="n"/>
      <c r="D172" s="12" t="n"/>
      <c r="E172" s="12" t="n"/>
      <c r="F172" s="28">
        <f>IF(OR($D172="",$E172=""),"",_xlfn.NETWORKDAYS.INTL($D172,$E172,Weekend))</f>
        <v/>
      </c>
      <c r="G172" s="4" t="n"/>
      <c r="H172" s="4" t="n"/>
      <c r="I172" s="8">
        <f>IF(OR($A172="",$H172='الإعدادات'!$Q$10),"",IF(COUNTIFS($B$3:$B$302,$B172,$D$3:$D$302,"&lt;="&amp;$E172,$E$3:$E$302,"&gt;="&amp;$D172,$H$3:$H$302,"&lt;&gt;"&amp;'الإعدادات'!$Q$10)&gt;1,"يتداخل مع زميل في الفرع",""))</f>
        <v/>
      </c>
    </row>
    <row r="173">
      <c r="A173" s="4" t="n"/>
      <c r="B173" s="8">
        <f>IF($A173="","",IFERROR(INDEX(StaffBranch,MATCH($A173,Staff,0)),""))</f>
        <v/>
      </c>
      <c r="C173" s="4" t="n"/>
      <c r="D173" s="12" t="n"/>
      <c r="E173" s="12" t="n"/>
      <c r="F173" s="28">
        <f>IF(OR($D173="",$E173=""),"",_xlfn.NETWORKDAYS.INTL($D173,$E173,Weekend))</f>
        <v/>
      </c>
      <c r="G173" s="4" t="n"/>
      <c r="H173" s="4" t="n"/>
      <c r="I173" s="8">
        <f>IF(OR($A173="",$H173='الإعدادات'!$Q$10),"",IF(COUNTIFS($B$3:$B$302,$B173,$D$3:$D$302,"&lt;="&amp;$E173,$E$3:$E$302,"&gt;="&amp;$D173,$H$3:$H$302,"&lt;&gt;"&amp;'الإعدادات'!$Q$10)&gt;1,"يتداخل مع زميل في الفرع",""))</f>
        <v/>
      </c>
    </row>
    <row r="174">
      <c r="A174" s="4" t="n"/>
      <c r="B174" s="8">
        <f>IF($A174="","",IFERROR(INDEX(StaffBranch,MATCH($A174,Staff,0)),""))</f>
        <v/>
      </c>
      <c r="C174" s="4" t="n"/>
      <c r="D174" s="12" t="n"/>
      <c r="E174" s="12" t="n"/>
      <c r="F174" s="28">
        <f>IF(OR($D174="",$E174=""),"",_xlfn.NETWORKDAYS.INTL($D174,$E174,Weekend))</f>
        <v/>
      </c>
      <c r="G174" s="4" t="n"/>
      <c r="H174" s="4" t="n"/>
      <c r="I174" s="8">
        <f>IF(OR($A174="",$H174='الإعدادات'!$Q$10),"",IF(COUNTIFS($B$3:$B$302,$B174,$D$3:$D$302,"&lt;="&amp;$E174,$E$3:$E$302,"&gt;="&amp;$D174,$H$3:$H$302,"&lt;&gt;"&amp;'الإعدادات'!$Q$10)&gt;1,"يتداخل مع زميل في الفرع",""))</f>
        <v/>
      </c>
    </row>
    <row r="175">
      <c r="A175" s="4" t="n"/>
      <c r="B175" s="8">
        <f>IF($A175="","",IFERROR(INDEX(StaffBranch,MATCH($A175,Staff,0)),""))</f>
        <v/>
      </c>
      <c r="C175" s="4" t="n"/>
      <c r="D175" s="12" t="n"/>
      <c r="E175" s="12" t="n"/>
      <c r="F175" s="28">
        <f>IF(OR($D175="",$E175=""),"",_xlfn.NETWORKDAYS.INTL($D175,$E175,Weekend))</f>
        <v/>
      </c>
      <c r="G175" s="4" t="n"/>
      <c r="H175" s="4" t="n"/>
      <c r="I175" s="8">
        <f>IF(OR($A175="",$H175='الإعدادات'!$Q$10),"",IF(COUNTIFS($B$3:$B$302,$B175,$D$3:$D$302,"&lt;="&amp;$E175,$E$3:$E$302,"&gt;="&amp;$D175,$H$3:$H$302,"&lt;&gt;"&amp;'الإعدادات'!$Q$10)&gt;1,"يتداخل مع زميل في الفرع",""))</f>
        <v/>
      </c>
    </row>
    <row r="176">
      <c r="A176" s="4" t="n"/>
      <c r="B176" s="8">
        <f>IF($A176="","",IFERROR(INDEX(StaffBranch,MATCH($A176,Staff,0)),""))</f>
        <v/>
      </c>
      <c r="C176" s="4" t="n"/>
      <c r="D176" s="12" t="n"/>
      <c r="E176" s="12" t="n"/>
      <c r="F176" s="28">
        <f>IF(OR($D176="",$E176=""),"",_xlfn.NETWORKDAYS.INTL($D176,$E176,Weekend))</f>
        <v/>
      </c>
      <c r="G176" s="4" t="n"/>
      <c r="H176" s="4" t="n"/>
      <c r="I176" s="8">
        <f>IF(OR($A176="",$H176='الإعدادات'!$Q$10),"",IF(COUNTIFS($B$3:$B$302,$B176,$D$3:$D$302,"&lt;="&amp;$E176,$E$3:$E$302,"&gt;="&amp;$D176,$H$3:$H$302,"&lt;&gt;"&amp;'الإعدادات'!$Q$10)&gt;1,"يتداخل مع زميل في الفرع",""))</f>
        <v/>
      </c>
    </row>
    <row r="177">
      <c r="A177" s="4" t="n"/>
      <c r="B177" s="8">
        <f>IF($A177="","",IFERROR(INDEX(StaffBranch,MATCH($A177,Staff,0)),""))</f>
        <v/>
      </c>
      <c r="C177" s="4" t="n"/>
      <c r="D177" s="12" t="n"/>
      <c r="E177" s="12" t="n"/>
      <c r="F177" s="28">
        <f>IF(OR($D177="",$E177=""),"",_xlfn.NETWORKDAYS.INTL($D177,$E177,Weekend))</f>
        <v/>
      </c>
      <c r="G177" s="4" t="n"/>
      <c r="H177" s="4" t="n"/>
      <c r="I177" s="8">
        <f>IF(OR($A177="",$H177='الإعدادات'!$Q$10),"",IF(COUNTIFS($B$3:$B$302,$B177,$D$3:$D$302,"&lt;="&amp;$E177,$E$3:$E$302,"&gt;="&amp;$D177,$H$3:$H$302,"&lt;&gt;"&amp;'الإعدادات'!$Q$10)&gt;1,"يتداخل مع زميل في الفرع",""))</f>
        <v/>
      </c>
    </row>
    <row r="178">
      <c r="A178" s="4" t="n"/>
      <c r="B178" s="8">
        <f>IF($A178="","",IFERROR(INDEX(StaffBranch,MATCH($A178,Staff,0)),""))</f>
        <v/>
      </c>
      <c r="C178" s="4" t="n"/>
      <c r="D178" s="12" t="n"/>
      <c r="E178" s="12" t="n"/>
      <c r="F178" s="28">
        <f>IF(OR($D178="",$E178=""),"",_xlfn.NETWORKDAYS.INTL($D178,$E178,Weekend))</f>
        <v/>
      </c>
      <c r="G178" s="4" t="n"/>
      <c r="H178" s="4" t="n"/>
      <c r="I178" s="8">
        <f>IF(OR($A178="",$H178='الإعدادات'!$Q$10),"",IF(COUNTIFS($B$3:$B$302,$B178,$D$3:$D$302,"&lt;="&amp;$E178,$E$3:$E$302,"&gt;="&amp;$D178,$H$3:$H$302,"&lt;&gt;"&amp;'الإعدادات'!$Q$10)&gt;1,"يتداخل مع زميل في الفرع",""))</f>
        <v/>
      </c>
    </row>
    <row r="179">
      <c r="A179" s="4" t="n"/>
      <c r="B179" s="8">
        <f>IF($A179="","",IFERROR(INDEX(StaffBranch,MATCH($A179,Staff,0)),""))</f>
        <v/>
      </c>
      <c r="C179" s="4" t="n"/>
      <c r="D179" s="12" t="n"/>
      <c r="E179" s="12" t="n"/>
      <c r="F179" s="28">
        <f>IF(OR($D179="",$E179=""),"",_xlfn.NETWORKDAYS.INTL($D179,$E179,Weekend))</f>
        <v/>
      </c>
      <c r="G179" s="4" t="n"/>
      <c r="H179" s="4" t="n"/>
      <c r="I179" s="8">
        <f>IF(OR($A179="",$H179='الإعدادات'!$Q$10),"",IF(COUNTIFS($B$3:$B$302,$B179,$D$3:$D$302,"&lt;="&amp;$E179,$E$3:$E$302,"&gt;="&amp;$D179,$H$3:$H$302,"&lt;&gt;"&amp;'الإعدادات'!$Q$10)&gt;1,"يتداخل مع زميل في الفرع",""))</f>
        <v/>
      </c>
    </row>
    <row r="180">
      <c r="A180" s="4" t="n"/>
      <c r="B180" s="8">
        <f>IF($A180="","",IFERROR(INDEX(StaffBranch,MATCH($A180,Staff,0)),""))</f>
        <v/>
      </c>
      <c r="C180" s="4" t="n"/>
      <c r="D180" s="12" t="n"/>
      <c r="E180" s="12" t="n"/>
      <c r="F180" s="28">
        <f>IF(OR($D180="",$E180=""),"",_xlfn.NETWORKDAYS.INTL($D180,$E180,Weekend))</f>
        <v/>
      </c>
      <c r="G180" s="4" t="n"/>
      <c r="H180" s="4" t="n"/>
      <c r="I180" s="8">
        <f>IF(OR($A180="",$H180='الإعدادات'!$Q$10),"",IF(COUNTIFS($B$3:$B$302,$B180,$D$3:$D$302,"&lt;="&amp;$E180,$E$3:$E$302,"&gt;="&amp;$D180,$H$3:$H$302,"&lt;&gt;"&amp;'الإعدادات'!$Q$10)&gt;1,"يتداخل مع زميل في الفرع",""))</f>
        <v/>
      </c>
    </row>
    <row r="181">
      <c r="A181" s="4" t="n"/>
      <c r="B181" s="8">
        <f>IF($A181="","",IFERROR(INDEX(StaffBranch,MATCH($A181,Staff,0)),""))</f>
        <v/>
      </c>
      <c r="C181" s="4" t="n"/>
      <c r="D181" s="12" t="n"/>
      <c r="E181" s="12" t="n"/>
      <c r="F181" s="28">
        <f>IF(OR($D181="",$E181=""),"",_xlfn.NETWORKDAYS.INTL($D181,$E181,Weekend))</f>
        <v/>
      </c>
      <c r="G181" s="4" t="n"/>
      <c r="H181" s="4" t="n"/>
      <c r="I181" s="8">
        <f>IF(OR($A181="",$H181='الإعدادات'!$Q$10),"",IF(COUNTIFS($B$3:$B$302,$B181,$D$3:$D$302,"&lt;="&amp;$E181,$E$3:$E$302,"&gt;="&amp;$D181,$H$3:$H$302,"&lt;&gt;"&amp;'الإعدادات'!$Q$10)&gt;1,"يتداخل مع زميل في الفرع",""))</f>
        <v/>
      </c>
    </row>
    <row r="182">
      <c r="A182" s="4" t="n"/>
      <c r="B182" s="8">
        <f>IF($A182="","",IFERROR(INDEX(StaffBranch,MATCH($A182,Staff,0)),""))</f>
        <v/>
      </c>
      <c r="C182" s="4" t="n"/>
      <c r="D182" s="12" t="n"/>
      <c r="E182" s="12" t="n"/>
      <c r="F182" s="28">
        <f>IF(OR($D182="",$E182=""),"",_xlfn.NETWORKDAYS.INTL($D182,$E182,Weekend))</f>
        <v/>
      </c>
      <c r="G182" s="4" t="n"/>
      <c r="H182" s="4" t="n"/>
      <c r="I182" s="8">
        <f>IF(OR($A182="",$H182='الإعدادات'!$Q$10),"",IF(COUNTIFS($B$3:$B$302,$B182,$D$3:$D$302,"&lt;="&amp;$E182,$E$3:$E$302,"&gt;="&amp;$D182,$H$3:$H$302,"&lt;&gt;"&amp;'الإعدادات'!$Q$10)&gt;1,"يتداخل مع زميل في الفرع",""))</f>
        <v/>
      </c>
    </row>
    <row r="183">
      <c r="A183" s="4" t="n"/>
      <c r="B183" s="8">
        <f>IF($A183="","",IFERROR(INDEX(StaffBranch,MATCH($A183,Staff,0)),""))</f>
        <v/>
      </c>
      <c r="C183" s="4" t="n"/>
      <c r="D183" s="12" t="n"/>
      <c r="E183" s="12" t="n"/>
      <c r="F183" s="28">
        <f>IF(OR($D183="",$E183=""),"",_xlfn.NETWORKDAYS.INTL($D183,$E183,Weekend))</f>
        <v/>
      </c>
      <c r="G183" s="4" t="n"/>
      <c r="H183" s="4" t="n"/>
      <c r="I183" s="8">
        <f>IF(OR($A183="",$H183='الإعدادات'!$Q$10),"",IF(COUNTIFS($B$3:$B$302,$B183,$D$3:$D$302,"&lt;="&amp;$E183,$E$3:$E$302,"&gt;="&amp;$D183,$H$3:$H$302,"&lt;&gt;"&amp;'الإعدادات'!$Q$10)&gt;1,"يتداخل مع زميل في الفرع",""))</f>
        <v/>
      </c>
    </row>
    <row r="184">
      <c r="A184" s="4" t="n"/>
      <c r="B184" s="8">
        <f>IF($A184="","",IFERROR(INDEX(StaffBranch,MATCH($A184,Staff,0)),""))</f>
        <v/>
      </c>
      <c r="C184" s="4" t="n"/>
      <c r="D184" s="12" t="n"/>
      <c r="E184" s="12" t="n"/>
      <c r="F184" s="28">
        <f>IF(OR($D184="",$E184=""),"",_xlfn.NETWORKDAYS.INTL($D184,$E184,Weekend))</f>
        <v/>
      </c>
      <c r="G184" s="4" t="n"/>
      <c r="H184" s="4" t="n"/>
      <c r="I184" s="8">
        <f>IF(OR($A184="",$H184='الإعدادات'!$Q$10),"",IF(COUNTIFS($B$3:$B$302,$B184,$D$3:$D$302,"&lt;="&amp;$E184,$E$3:$E$302,"&gt;="&amp;$D184,$H$3:$H$302,"&lt;&gt;"&amp;'الإعدادات'!$Q$10)&gt;1,"يتداخل مع زميل في الفرع",""))</f>
        <v/>
      </c>
    </row>
    <row r="185">
      <c r="A185" s="4" t="n"/>
      <c r="B185" s="8">
        <f>IF($A185="","",IFERROR(INDEX(StaffBranch,MATCH($A185,Staff,0)),""))</f>
        <v/>
      </c>
      <c r="C185" s="4" t="n"/>
      <c r="D185" s="12" t="n"/>
      <c r="E185" s="12" t="n"/>
      <c r="F185" s="28">
        <f>IF(OR($D185="",$E185=""),"",_xlfn.NETWORKDAYS.INTL($D185,$E185,Weekend))</f>
        <v/>
      </c>
      <c r="G185" s="4" t="n"/>
      <c r="H185" s="4" t="n"/>
      <c r="I185" s="8">
        <f>IF(OR($A185="",$H185='الإعدادات'!$Q$10),"",IF(COUNTIFS($B$3:$B$302,$B185,$D$3:$D$302,"&lt;="&amp;$E185,$E$3:$E$302,"&gt;="&amp;$D185,$H$3:$H$302,"&lt;&gt;"&amp;'الإعدادات'!$Q$10)&gt;1,"يتداخل مع زميل في الفرع",""))</f>
        <v/>
      </c>
    </row>
    <row r="186">
      <c r="A186" s="4" t="n"/>
      <c r="B186" s="8">
        <f>IF($A186="","",IFERROR(INDEX(StaffBranch,MATCH($A186,Staff,0)),""))</f>
        <v/>
      </c>
      <c r="C186" s="4" t="n"/>
      <c r="D186" s="12" t="n"/>
      <c r="E186" s="12" t="n"/>
      <c r="F186" s="28">
        <f>IF(OR($D186="",$E186=""),"",_xlfn.NETWORKDAYS.INTL($D186,$E186,Weekend))</f>
        <v/>
      </c>
      <c r="G186" s="4" t="n"/>
      <c r="H186" s="4" t="n"/>
      <c r="I186" s="8">
        <f>IF(OR($A186="",$H186='الإعدادات'!$Q$10),"",IF(COUNTIFS($B$3:$B$302,$B186,$D$3:$D$302,"&lt;="&amp;$E186,$E$3:$E$302,"&gt;="&amp;$D186,$H$3:$H$302,"&lt;&gt;"&amp;'الإعدادات'!$Q$10)&gt;1,"يتداخل مع زميل في الفرع",""))</f>
        <v/>
      </c>
    </row>
    <row r="187">
      <c r="A187" s="4" t="n"/>
      <c r="B187" s="8">
        <f>IF($A187="","",IFERROR(INDEX(StaffBranch,MATCH($A187,Staff,0)),""))</f>
        <v/>
      </c>
      <c r="C187" s="4" t="n"/>
      <c r="D187" s="12" t="n"/>
      <c r="E187" s="12" t="n"/>
      <c r="F187" s="28">
        <f>IF(OR($D187="",$E187=""),"",_xlfn.NETWORKDAYS.INTL($D187,$E187,Weekend))</f>
        <v/>
      </c>
      <c r="G187" s="4" t="n"/>
      <c r="H187" s="4" t="n"/>
      <c r="I187" s="8">
        <f>IF(OR($A187="",$H187='الإعدادات'!$Q$10),"",IF(COUNTIFS($B$3:$B$302,$B187,$D$3:$D$302,"&lt;="&amp;$E187,$E$3:$E$302,"&gt;="&amp;$D187,$H$3:$H$302,"&lt;&gt;"&amp;'الإعدادات'!$Q$10)&gt;1,"يتداخل مع زميل في الفرع",""))</f>
        <v/>
      </c>
    </row>
    <row r="188">
      <c r="A188" s="4" t="n"/>
      <c r="B188" s="8">
        <f>IF($A188="","",IFERROR(INDEX(StaffBranch,MATCH($A188,Staff,0)),""))</f>
        <v/>
      </c>
      <c r="C188" s="4" t="n"/>
      <c r="D188" s="12" t="n"/>
      <c r="E188" s="12" t="n"/>
      <c r="F188" s="28">
        <f>IF(OR($D188="",$E188=""),"",_xlfn.NETWORKDAYS.INTL($D188,$E188,Weekend))</f>
        <v/>
      </c>
      <c r="G188" s="4" t="n"/>
      <c r="H188" s="4" t="n"/>
      <c r="I188" s="8">
        <f>IF(OR($A188="",$H188='الإعدادات'!$Q$10),"",IF(COUNTIFS($B$3:$B$302,$B188,$D$3:$D$302,"&lt;="&amp;$E188,$E$3:$E$302,"&gt;="&amp;$D188,$H$3:$H$302,"&lt;&gt;"&amp;'الإعدادات'!$Q$10)&gt;1,"يتداخل مع زميل في الفرع",""))</f>
        <v/>
      </c>
    </row>
    <row r="189">
      <c r="A189" s="4" t="n"/>
      <c r="B189" s="8">
        <f>IF($A189="","",IFERROR(INDEX(StaffBranch,MATCH($A189,Staff,0)),""))</f>
        <v/>
      </c>
      <c r="C189" s="4" t="n"/>
      <c r="D189" s="12" t="n"/>
      <c r="E189" s="12" t="n"/>
      <c r="F189" s="28">
        <f>IF(OR($D189="",$E189=""),"",_xlfn.NETWORKDAYS.INTL($D189,$E189,Weekend))</f>
        <v/>
      </c>
      <c r="G189" s="4" t="n"/>
      <c r="H189" s="4" t="n"/>
      <c r="I189" s="8">
        <f>IF(OR($A189="",$H189='الإعدادات'!$Q$10),"",IF(COUNTIFS($B$3:$B$302,$B189,$D$3:$D$302,"&lt;="&amp;$E189,$E$3:$E$302,"&gt;="&amp;$D189,$H$3:$H$302,"&lt;&gt;"&amp;'الإعدادات'!$Q$10)&gt;1,"يتداخل مع زميل في الفرع",""))</f>
        <v/>
      </c>
    </row>
    <row r="190">
      <c r="A190" s="4" t="n"/>
      <c r="B190" s="8">
        <f>IF($A190="","",IFERROR(INDEX(StaffBranch,MATCH($A190,Staff,0)),""))</f>
        <v/>
      </c>
      <c r="C190" s="4" t="n"/>
      <c r="D190" s="12" t="n"/>
      <c r="E190" s="12" t="n"/>
      <c r="F190" s="28">
        <f>IF(OR($D190="",$E190=""),"",_xlfn.NETWORKDAYS.INTL($D190,$E190,Weekend))</f>
        <v/>
      </c>
      <c r="G190" s="4" t="n"/>
      <c r="H190" s="4" t="n"/>
      <c r="I190" s="8">
        <f>IF(OR($A190="",$H190='الإعدادات'!$Q$10),"",IF(COUNTIFS($B$3:$B$302,$B190,$D$3:$D$302,"&lt;="&amp;$E190,$E$3:$E$302,"&gt;="&amp;$D190,$H$3:$H$302,"&lt;&gt;"&amp;'الإعدادات'!$Q$10)&gt;1,"يتداخل مع زميل في الفرع",""))</f>
        <v/>
      </c>
    </row>
    <row r="191">
      <c r="A191" s="4" t="n"/>
      <c r="B191" s="8">
        <f>IF($A191="","",IFERROR(INDEX(StaffBranch,MATCH($A191,Staff,0)),""))</f>
        <v/>
      </c>
      <c r="C191" s="4" t="n"/>
      <c r="D191" s="12" t="n"/>
      <c r="E191" s="12" t="n"/>
      <c r="F191" s="28">
        <f>IF(OR($D191="",$E191=""),"",_xlfn.NETWORKDAYS.INTL($D191,$E191,Weekend))</f>
        <v/>
      </c>
      <c r="G191" s="4" t="n"/>
      <c r="H191" s="4" t="n"/>
      <c r="I191" s="8">
        <f>IF(OR($A191="",$H191='الإعدادات'!$Q$10),"",IF(COUNTIFS($B$3:$B$302,$B191,$D$3:$D$302,"&lt;="&amp;$E191,$E$3:$E$302,"&gt;="&amp;$D191,$H$3:$H$302,"&lt;&gt;"&amp;'الإعدادات'!$Q$10)&gt;1,"يتداخل مع زميل في الفرع",""))</f>
        <v/>
      </c>
    </row>
    <row r="192">
      <c r="A192" s="4" t="n"/>
      <c r="B192" s="8">
        <f>IF($A192="","",IFERROR(INDEX(StaffBranch,MATCH($A192,Staff,0)),""))</f>
        <v/>
      </c>
      <c r="C192" s="4" t="n"/>
      <c r="D192" s="12" t="n"/>
      <c r="E192" s="12" t="n"/>
      <c r="F192" s="28">
        <f>IF(OR($D192="",$E192=""),"",_xlfn.NETWORKDAYS.INTL($D192,$E192,Weekend))</f>
        <v/>
      </c>
      <c r="G192" s="4" t="n"/>
      <c r="H192" s="4" t="n"/>
      <c r="I192" s="8">
        <f>IF(OR($A192="",$H192='الإعدادات'!$Q$10),"",IF(COUNTIFS($B$3:$B$302,$B192,$D$3:$D$302,"&lt;="&amp;$E192,$E$3:$E$302,"&gt;="&amp;$D192,$H$3:$H$302,"&lt;&gt;"&amp;'الإعدادات'!$Q$10)&gt;1,"يتداخل مع زميل في الفرع",""))</f>
        <v/>
      </c>
    </row>
    <row r="193">
      <c r="A193" s="4" t="n"/>
      <c r="B193" s="8">
        <f>IF($A193="","",IFERROR(INDEX(StaffBranch,MATCH($A193,Staff,0)),""))</f>
        <v/>
      </c>
      <c r="C193" s="4" t="n"/>
      <c r="D193" s="12" t="n"/>
      <c r="E193" s="12" t="n"/>
      <c r="F193" s="28">
        <f>IF(OR($D193="",$E193=""),"",_xlfn.NETWORKDAYS.INTL($D193,$E193,Weekend))</f>
        <v/>
      </c>
      <c r="G193" s="4" t="n"/>
      <c r="H193" s="4" t="n"/>
      <c r="I193" s="8">
        <f>IF(OR($A193="",$H193='الإعدادات'!$Q$10),"",IF(COUNTIFS($B$3:$B$302,$B193,$D$3:$D$302,"&lt;="&amp;$E193,$E$3:$E$302,"&gt;="&amp;$D193,$H$3:$H$302,"&lt;&gt;"&amp;'الإعدادات'!$Q$10)&gt;1,"يتداخل مع زميل في الفرع",""))</f>
        <v/>
      </c>
    </row>
    <row r="194">
      <c r="A194" s="4" t="n"/>
      <c r="B194" s="8">
        <f>IF($A194="","",IFERROR(INDEX(StaffBranch,MATCH($A194,Staff,0)),""))</f>
        <v/>
      </c>
      <c r="C194" s="4" t="n"/>
      <c r="D194" s="12" t="n"/>
      <c r="E194" s="12" t="n"/>
      <c r="F194" s="28">
        <f>IF(OR($D194="",$E194=""),"",_xlfn.NETWORKDAYS.INTL($D194,$E194,Weekend))</f>
        <v/>
      </c>
      <c r="G194" s="4" t="n"/>
      <c r="H194" s="4" t="n"/>
      <c r="I194" s="8">
        <f>IF(OR($A194="",$H194='الإعدادات'!$Q$10),"",IF(COUNTIFS($B$3:$B$302,$B194,$D$3:$D$302,"&lt;="&amp;$E194,$E$3:$E$302,"&gt;="&amp;$D194,$H$3:$H$302,"&lt;&gt;"&amp;'الإعدادات'!$Q$10)&gt;1,"يتداخل مع زميل في الفرع",""))</f>
        <v/>
      </c>
    </row>
    <row r="195">
      <c r="A195" s="4" t="n"/>
      <c r="B195" s="8">
        <f>IF($A195="","",IFERROR(INDEX(StaffBranch,MATCH($A195,Staff,0)),""))</f>
        <v/>
      </c>
      <c r="C195" s="4" t="n"/>
      <c r="D195" s="12" t="n"/>
      <c r="E195" s="12" t="n"/>
      <c r="F195" s="28">
        <f>IF(OR($D195="",$E195=""),"",_xlfn.NETWORKDAYS.INTL($D195,$E195,Weekend))</f>
        <v/>
      </c>
      <c r="G195" s="4" t="n"/>
      <c r="H195" s="4" t="n"/>
      <c r="I195" s="8">
        <f>IF(OR($A195="",$H195='الإعدادات'!$Q$10),"",IF(COUNTIFS($B$3:$B$302,$B195,$D$3:$D$302,"&lt;="&amp;$E195,$E$3:$E$302,"&gt;="&amp;$D195,$H$3:$H$302,"&lt;&gt;"&amp;'الإعدادات'!$Q$10)&gt;1,"يتداخل مع زميل في الفرع",""))</f>
        <v/>
      </c>
    </row>
    <row r="196">
      <c r="A196" s="4" t="n"/>
      <c r="B196" s="8">
        <f>IF($A196="","",IFERROR(INDEX(StaffBranch,MATCH($A196,Staff,0)),""))</f>
        <v/>
      </c>
      <c r="C196" s="4" t="n"/>
      <c r="D196" s="12" t="n"/>
      <c r="E196" s="12" t="n"/>
      <c r="F196" s="28">
        <f>IF(OR($D196="",$E196=""),"",_xlfn.NETWORKDAYS.INTL($D196,$E196,Weekend))</f>
        <v/>
      </c>
      <c r="G196" s="4" t="n"/>
      <c r="H196" s="4" t="n"/>
      <c r="I196" s="8">
        <f>IF(OR($A196="",$H196='الإعدادات'!$Q$10),"",IF(COUNTIFS($B$3:$B$302,$B196,$D$3:$D$302,"&lt;="&amp;$E196,$E$3:$E$302,"&gt;="&amp;$D196,$H$3:$H$302,"&lt;&gt;"&amp;'الإعدادات'!$Q$10)&gt;1,"يتداخل مع زميل في الفرع",""))</f>
        <v/>
      </c>
    </row>
    <row r="197">
      <c r="A197" s="4" t="n"/>
      <c r="B197" s="8">
        <f>IF($A197="","",IFERROR(INDEX(StaffBranch,MATCH($A197,Staff,0)),""))</f>
        <v/>
      </c>
      <c r="C197" s="4" t="n"/>
      <c r="D197" s="12" t="n"/>
      <c r="E197" s="12" t="n"/>
      <c r="F197" s="28">
        <f>IF(OR($D197="",$E197=""),"",_xlfn.NETWORKDAYS.INTL($D197,$E197,Weekend))</f>
        <v/>
      </c>
      <c r="G197" s="4" t="n"/>
      <c r="H197" s="4" t="n"/>
      <c r="I197" s="8">
        <f>IF(OR($A197="",$H197='الإعدادات'!$Q$10),"",IF(COUNTIFS($B$3:$B$302,$B197,$D$3:$D$302,"&lt;="&amp;$E197,$E$3:$E$302,"&gt;="&amp;$D197,$H$3:$H$302,"&lt;&gt;"&amp;'الإعدادات'!$Q$10)&gt;1,"يتداخل مع زميل في الفرع",""))</f>
        <v/>
      </c>
    </row>
    <row r="198">
      <c r="A198" s="4" t="n"/>
      <c r="B198" s="8">
        <f>IF($A198="","",IFERROR(INDEX(StaffBranch,MATCH($A198,Staff,0)),""))</f>
        <v/>
      </c>
      <c r="C198" s="4" t="n"/>
      <c r="D198" s="12" t="n"/>
      <c r="E198" s="12" t="n"/>
      <c r="F198" s="28">
        <f>IF(OR($D198="",$E198=""),"",_xlfn.NETWORKDAYS.INTL($D198,$E198,Weekend))</f>
        <v/>
      </c>
      <c r="G198" s="4" t="n"/>
      <c r="H198" s="4" t="n"/>
      <c r="I198" s="8">
        <f>IF(OR($A198="",$H198='الإعدادات'!$Q$10),"",IF(COUNTIFS($B$3:$B$302,$B198,$D$3:$D$302,"&lt;="&amp;$E198,$E$3:$E$302,"&gt;="&amp;$D198,$H$3:$H$302,"&lt;&gt;"&amp;'الإعدادات'!$Q$10)&gt;1,"يتداخل مع زميل في الفرع",""))</f>
        <v/>
      </c>
    </row>
    <row r="199">
      <c r="A199" s="4" t="n"/>
      <c r="B199" s="8">
        <f>IF($A199="","",IFERROR(INDEX(StaffBranch,MATCH($A199,Staff,0)),""))</f>
        <v/>
      </c>
      <c r="C199" s="4" t="n"/>
      <c r="D199" s="12" t="n"/>
      <c r="E199" s="12" t="n"/>
      <c r="F199" s="28">
        <f>IF(OR($D199="",$E199=""),"",_xlfn.NETWORKDAYS.INTL($D199,$E199,Weekend))</f>
        <v/>
      </c>
      <c r="G199" s="4" t="n"/>
      <c r="H199" s="4" t="n"/>
      <c r="I199" s="8">
        <f>IF(OR($A199="",$H199='الإعدادات'!$Q$10),"",IF(COUNTIFS($B$3:$B$302,$B199,$D$3:$D$302,"&lt;="&amp;$E199,$E$3:$E$302,"&gt;="&amp;$D199,$H$3:$H$302,"&lt;&gt;"&amp;'الإعدادات'!$Q$10)&gt;1,"يتداخل مع زميل في الفرع",""))</f>
        <v/>
      </c>
    </row>
    <row r="200">
      <c r="A200" s="4" t="n"/>
      <c r="B200" s="8">
        <f>IF($A200="","",IFERROR(INDEX(StaffBranch,MATCH($A200,Staff,0)),""))</f>
        <v/>
      </c>
      <c r="C200" s="4" t="n"/>
      <c r="D200" s="12" t="n"/>
      <c r="E200" s="12" t="n"/>
      <c r="F200" s="28">
        <f>IF(OR($D200="",$E200=""),"",_xlfn.NETWORKDAYS.INTL($D200,$E200,Weekend))</f>
        <v/>
      </c>
      <c r="G200" s="4" t="n"/>
      <c r="H200" s="4" t="n"/>
      <c r="I200" s="8">
        <f>IF(OR($A200="",$H200='الإعدادات'!$Q$10),"",IF(COUNTIFS($B$3:$B$302,$B200,$D$3:$D$302,"&lt;="&amp;$E200,$E$3:$E$302,"&gt;="&amp;$D200,$H$3:$H$302,"&lt;&gt;"&amp;'الإعدادات'!$Q$10)&gt;1,"يتداخل مع زميل في الفرع",""))</f>
        <v/>
      </c>
    </row>
    <row r="201">
      <c r="A201" s="4" t="n"/>
      <c r="B201" s="8">
        <f>IF($A201="","",IFERROR(INDEX(StaffBranch,MATCH($A201,Staff,0)),""))</f>
        <v/>
      </c>
      <c r="C201" s="4" t="n"/>
      <c r="D201" s="12" t="n"/>
      <c r="E201" s="12" t="n"/>
      <c r="F201" s="28">
        <f>IF(OR($D201="",$E201=""),"",_xlfn.NETWORKDAYS.INTL($D201,$E201,Weekend))</f>
        <v/>
      </c>
      <c r="G201" s="4" t="n"/>
      <c r="H201" s="4" t="n"/>
      <c r="I201" s="8">
        <f>IF(OR($A201="",$H201='الإعدادات'!$Q$10),"",IF(COUNTIFS($B$3:$B$302,$B201,$D$3:$D$302,"&lt;="&amp;$E201,$E$3:$E$302,"&gt;="&amp;$D201,$H$3:$H$302,"&lt;&gt;"&amp;'الإعدادات'!$Q$10)&gt;1,"يتداخل مع زميل في الفرع",""))</f>
        <v/>
      </c>
    </row>
    <row r="202">
      <c r="A202" s="4" t="n"/>
      <c r="B202" s="8">
        <f>IF($A202="","",IFERROR(INDEX(StaffBranch,MATCH($A202,Staff,0)),""))</f>
        <v/>
      </c>
      <c r="C202" s="4" t="n"/>
      <c r="D202" s="12" t="n"/>
      <c r="E202" s="12" t="n"/>
      <c r="F202" s="28">
        <f>IF(OR($D202="",$E202=""),"",_xlfn.NETWORKDAYS.INTL($D202,$E202,Weekend))</f>
        <v/>
      </c>
      <c r="G202" s="4" t="n"/>
      <c r="H202" s="4" t="n"/>
      <c r="I202" s="8">
        <f>IF(OR($A202="",$H202='الإعدادات'!$Q$10),"",IF(COUNTIFS($B$3:$B$302,$B202,$D$3:$D$302,"&lt;="&amp;$E202,$E$3:$E$302,"&gt;="&amp;$D202,$H$3:$H$302,"&lt;&gt;"&amp;'الإعدادات'!$Q$10)&gt;1,"يتداخل مع زميل في الفرع",""))</f>
        <v/>
      </c>
    </row>
    <row r="203">
      <c r="A203" s="4" t="n"/>
      <c r="B203" s="8">
        <f>IF($A203="","",IFERROR(INDEX(StaffBranch,MATCH($A203,Staff,0)),""))</f>
        <v/>
      </c>
      <c r="C203" s="4" t="n"/>
      <c r="D203" s="12" t="n"/>
      <c r="E203" s="12" t="n"/>
      <c r="F203" s="28">
        <f>IF(OR($D203="",$E203=""),"",_xlfn.NETWORKDAYS.INTL($D203,$E203,Weekend))</f>
        <v/>
      </c>
      <c r="G203" s="4" t="n"/>
      <c r="H203" s="4" t="n"/>
      <c r="I203" s="8">
        <f>IF(OR($A203="",$H203='الإعدادات'!$Q$10),"",IF(COUNTIFS($B$3:$B$302,$B203,$D$3:$D$302,"&lt;="&amp;$E203,$E$3:$E$302,"&gt;="&amp;$D203,$H$3:$H$302,"&lt;&gt;"&amp;'الإعدادات'!$Q$10)&gt;1,"يتداخل مع زميل في الفرع",""))</f>
        <v/>
      </c>
    </row>
    <row r="204">
      <c r="A204" s="4" t="n"/>
      <c r="B204" s="8">
        <f>IF($A204="","",IFERROR(INDEX(StaffBranch,MATCH($A204,Staff,0)),""))</f>
        <v/>
      </c>
      <c r="C204" s="4" t="n"/>
      <c r="D204" s="12" t="n"/>
      <c r="E204" s="12" t="n"/>
      <c r="F204" s="28">
        <f>IF(OR($D204="",$E204=""),"",_xlfn.NETWORKDAYS.INTL($D204,$E204,Weekend))</f>
        <v/>
      </c>
      <c r="G204" s="4" t="n"/>
      <c r="H204" s="4" t="n"/>
      <c r="I204" s="8">
        <f>IF(OR($A204="",$H204='الإعدادات'!$Q$10),"",IF(COUNTIFS($B$3:$B$302,$B204,$D$3:$D$302,"&lt;="&amp;$E204,$E$3:$E$302,"&gt;="&amp;$D204,$H$3:$H$302,"&lt;&gt;"&amp;'الإعدادات'!$Q$10)&gt;1,"يتداخل مع زميل في الفرع",""))</f>
        <v/>
      </c>
    </row>
    <row r="205">
      <c r="A205" s="4" t="n"/>
      <c r="B205" s="8">
        <f>IF($A205="","",IFERROR(INDEX(StaffBranch,MATCH($A205,Staff,0)),""))</f>
        <v/>
      </c>
      <c r="C205" s="4" t="n"/>
      <c r="D205" s="12" t="n"/>
      <c r="E205" s="12" t="n"/>
      <c r="F205" s="28">
        <f>IF(OR($D205="",$E205=""),"",_xlfn.NETWORKDAYS.INTL($D205,$E205,Weekend))</f>
        <v/>
      </c>
      <c r="G205" s="4" t="n"/>
      <c r="H205" s="4" t="n"/>
      <c r="I205" s="8">
        <f>IF(OR($A205="",$H205='الإعدادات'!$Q$10),"",IF(COUNTIFS($B$3:$B$302,$B205,$D$3:$D$302,"&lt;="&amp;$E205,$E$3:$E$302,"&gt;="&amp;$D205,$H$3:$H$302,"&lt;&gt;"&amp;'الإعدادات'!$Q$10)&gt;1,"يتداخل مع زميل في الفرع",""))</f>
        <v/>
      </c>
    </row>
    <row r="206">
      <c r="A206" s="4" t="n"/>
      <c r="B206" s="8">
        <f>IF($A206="","",IFERROR(INDEX(StaffBranch,MATCH($A206,Staff,0)),""))</f>
        <v/>
      </c>
      <c r="C206" s="4" t="n"/>
      <c r="D206" s="12" t="n"/>
      <c r="E206" s="12" t="n"/>
      <c r="F206" s="28">
        <f>IF(OR($D206="",$E206=""),"",_xlfn.NETWORKDAYS.INTL($D206,$E206,Weekend))</f>
        <v/>
      </c>
      <c r="G206" s="4" t="n"/>
      <c r="H206" s="4" t="n"/>
      <c r="I206" s="8">
        <f>IF(OR($A206="",$H206='الإعدادات'!$Q$10),"",IF(COUNTIFS($B$3:$B$302,$B206,$D$3:$D$302,"&lt;="&amp;$E206,$E$3:$E$302,"&gt;="&amp;$D206,$H$3:$H$302,"&lt;&gt;"&amp;'الإعدادات'!$Q$10)&gt;1,"يتداخل مع زميل في الفرع",""))</f>
        <v/>
      </c>
    </row>
    <row r="207">
      <c r="A207" s="4" t="n"/>
      <c r="B207" s="8">
        <f>IF($A207="","",IFERROR(INDEX(StaffBranch,MATCH($A207,Staff,0)),""))</f>
        <v/>
      </c>
      <c r="C207" s="4" t="n"/>
      <c r="D207" s="12" t="n"/>
      <c r="E207" s="12" t="n"/>
      <c r="F207" s="28">
        <f>IF(OR($D207="",$E207=""),"",_xlfn.NETWORKDAYS.INTL($D207,$E207,Weekend))</f>
        <v/>
      </c>
      <c r="G207" s="4" t="n"/>
      <c r="H207" s="4" t="n"/>
      <c r="I207" s="8">
        <f>IF(OR($A207="",$H207='الإعدادات'!$Q$10),"",IF(COUNTIFS($B$3:$B$302,$B207,$D$3:$D$302,"&lt;="&amp;$E207,$E$3:$E$302,"&gt;="&amp;$D207,$H$3:$H$302,"&lt;&gt;"&amp;'الإعدادات'!$Q$10)&gt;1,"يتداخل مع زميل في الفرع",""))</f>
        <v/>
      </c>
    </row>
    <row r="208">
      <c r="A208" s="4" t="n"/>
      <c r="B208" s="8">
        <f>IF($A208="","",IFERROR(INDEX(StaffBranch,MATCH($A208,Staff,0)),""))</f>
        <v/>
      </c>
      <c r="C208" s="4" t="n"/>
      <c r="D208" s="12" t="n"/>
      <c r="E208" s="12" t="n"/>
      <c r="F208" s="28">
        <f>IF(OR($D208="",$E208=""),"",_xlfn.NETWORKDAYS.INTL($D208,$E208,Weekend))</f>
        <v/>
      </c>
      <c r="G208" s="4" t="n"/>
      <c r="H208" s="4" t="n"/>
      <c r="I208" s="8">
        <f>IF(OR($A208="",$H208='الإعدادات'!$Q$10),"",IF(COUNTIFS($B$3:$B$302,$B208,$D$3:$D$302,"&lt;="&amp;$E208,$E$3:$E$302,"&gt;="&amp;$D208,$H$3:$H$302,"&lt;&gt;"&amp;'الإعدادات'!$Q$10)&gt;1,"يتداخل مع زميل في الفرع",""))</f>
        <v/>
      </c>
    </row>
    <row r="209">
      <c r="A209" s="4" t="n"/>
      <c r="B209" s="8">
        <f>IF($A209="","",IFERROR(INDEX(StaffBranch,MATCH($A209,Staff,0)),""))</f>
        <v/>
      </c>
      <c r="C209" s="4" t="n"/>
      <c r="D209" s="12" t="n"/>
      <c r="E209" s="12" t="n"/>
      <c r="F209" s="28">
        <f>IF(OR($D209="",$E209=""),"",_xlfn.NETWORKDAYS.INTL($D209,$E209,Weekend))</f>
        <v/>
      </c>
      <c r="G209" s="4" t="n"/>
      <c r="H209" s="4" t="n"/>
      <c r="I209" s="8">
        <f>IF(OR($A209="",$H209='الإعدادات'!$Q$10),"",IF(COUNTIFS($B$3:$B$302,$B209,$D$3:$D$302,"&lt;="&amp;$E209,$E$3:$E$302,"&gt;="&amp;$D209,$H$3:$H$302,"&lt;&gt;"&amp;'الإعدادات'!$Q$10)&gt;1,"يتداخل مع زميل في الفرع",""))</f>
        <v/>
      </c>
    </row>
    <row r="210">
      <c r="A210" s="4" t="n"/>
      <c r="B210" s="8">
        <f>IF($A210="","",IFERROR(INDEX(StaffBranch,MATCH($A210,Staff,0)),""))</f>
        <v/>
      </c>
      <c r="C210" s="4" t="n"/>
      <c r="D210" s="12" t="n"/>
      <c r="E210" s="12" t="n"/>
      <c r="F210" s="28">
        <f>IF(OR($D210="",$E210=""),"",_xlfn.NETWORKDAYS.INTL($D210,$E210,Weekend))</f>
        <v/>
      </c>
      <c r="G210" s="4" t="n"/>
      <c r="H210" s="4" t="n"/>
      <c r="I210" s="8">
        <f>IF(OR($A210="",$H210='الإعدادات'!$Q$10),"",IF(COUNTIFS($B$3:$B$302,$B210,$D$3:$D$302,"&lt;="&amp;$E210,$E$3:$E$302,"&gt;="&amp;$D210,$H$3:$H$302,"&lt;&gt;"&amp;'الإعدادات'!$Q$10)&gt;1,"يتداخل مع زميل في الفرع",""))</f>
        <v/>
      </c>
    </row>
    <row r="211">
      <c r="A211" s="4" t="n"/>
      <c r="B211" s="8">
        <f>IF($A211="","",IFERROR(INDEX(StaffBranch,MATCH($A211,Staff,0)),""))</f>
        <v/>
      </c>
      <c r="C211" s="4" t="n"/>
      <c r="D211" s="12" t="n"/>
      <c r="E211" s="12" t="n"/>
      <c r="F211" s="28">
        <f>IF(OR($D211="",$E211=""),"",_xlfn.NETWORKDAYS.INTL($D211,$E211,Weekend))</f>
        <v/>
      </c>
      <c r="G211" s="4" t="n"/>
      <c r="H211" s="4" t="n"/>
      <c r="I211" s="8">
        <f>IF(OR($A211="",$H211='الإعدادات'!$Q$10),"",IF(COUNTIFS($B$3:$B$302,$B211,$D$3:$D$302,"&lt;="&amp;$E211,$E$3:$E$302,"&gt;="&amp;$D211,$H$3:$H$302,"&lt;&gt;"&amp;'الإعدادات'!$Q$10)&gt;1,"يتداخل مع زميل في الفرع",""))</f>
        <v/>
      </c>
    </row>
    <row r="212">
      <c r="A212" s="4" t="n"/>
      <c r="B212" s="8">
        <f>IF($A212="","",IFERROR(INDEX(StaffBranch,MATCH($A212,Staff,0)),""))</f>
        <v/>
      </c>
      <c r="C212" s="4" t="n"/>
      <c r="D212" s="12" t="n"/>
      <c r="E212" s="12" t="n"/>
      <c r="F212" s="28">
        <f>IF(OR($D212="",$E212=""),"",_xlfn.NETWORKDAYS.INTL($D212,$E212,Weekend))</f>
        <v/>
      </c>
      <c r="G212" s="4" t="n"/>
      <c r="H212" s="4" t="n"/>
      <c r="I212" s="8">
        <f>IF(OR($A212="",$H212='الإعدادات'!$Q$10),"",IF(COUNTIFS($B$3:$B$302,$B212,$D$3:$D$302,"&lt;="&amp;$E212,$E$3:$E$302,"&gt;="&amp;$D212,$H$3:$H$302,"&lt;&gt;"&amp;'الإعدادات'!$Q$10)&gt;1,"يتداخل مع زميل في الفرع",""))</f>
        <v/>
      </c>
    </row>
    <row r="213">
      <c r="A213" s="4" t="n"/>
      <c r="B213" s="8">
        <f>IF($A213="","",IFERROR(INDEX(StaffBranch,MATCH($A213,Staff,0)),""))</f>
        <v/>
      </c>
      <c r="C213" s="4" t="n"/>
      <c r="D213" s="12" t="n"/>
      <c r="E213" s="12" t="n"/>
      <c r="F213" s="28">
        <f>IF(OR($D213="",$E213=""),"",_xlfn.NETWORKDAYS.INTL($D213,$E213,Weekend))</f>
        <v/>
      </c>
      <c r="G213" s="4" t="n"/>
      <c r="H213" s="4" t="n"/>
      <c r="I213" s="8">
        <f>IF(OR($A213="",$H213='الإعدادات'!$Q$10),"",IF(COUNTIFS($B$3:$B$302,$B213,$D$3:$D$302,"&lt;="&amp;$E213,$E$3:$E$302,"&gt;="&amp;$D213,$H$3:$H$302,"&lt;&gt;"&amp;'الإعدادات'!$Q$10)&gt;1,"يتداخل مع زميل في الفرع",""))</f>
        <v/>
      </c>
    </row>
    <row r="214">
      <c r="A214" s="4" t="n"/>
      <c r="B214" s="8">
        <f>IF($A214="","",IFERROR(INDEX(StaffBranch,MATCH($A214,Staff,0)),""))</f>
        <v/>
      </c>
      <c r="C214" s="4" t="n"/>
      <c r="D214" s="12" t="n"/>
      <c r="E214" s="12" t="n"/>
      <c r="F214" s="28">
        <f>IF(OR($D214="",$E214=""),"",_xlfn.NETWORKDAYS.INTL($D214,$E214,Weekend))</f>
        <v/>
      </c>
      <c r="G214" s="4" t="n"/>
      <c r="H214" s="4" t="n"/>
      <c r="I214" s="8">
        <f>IF(OR($A214="",$H214='الإعدادات'!$Q$10),"",IF(COUNTIFS($B$3:$B$302,$B214,$D$3:$D$302,"&lt;="&amp;$E214,$E$3:$E$302,"&gt;="&amp;$D214,$H$3:$H$302,"&lt;&gt;"&amp;'الإعدادات'!$Q$10)&gt;1,"يتداخل مع زميل في الفرع",""))</f>
        <v/>
      </c>
    </row>
    <row r="215">
      <c r="A215" s="4" t="n"/>
      <c r="B215" s="8">
        <f>IF($A215="","",IFERROR(INDEX(StaffBranch,MATCH($A215,Staff,0)),""))</f>
        <v/>
      </c>
      <c r="C215" s="4" t="n"/>
      <c r="D215" s="12" t="n"/>
      <c r="E215" s="12" t="n"/>
      <c r="F215" s="28">
        <f>IF(OR($D215="",$E215=""),"",_xlfn.NETWORKDAYS.INTL($D215,$E215,Weekend))</f>
        <v/>
      </c>
      <c r="G215" s="4" t="n"/>
      <c r="H215" s="4" t="n"/>
      <c r="I215" s="8">
        <f>IF(OR($A215="",$H215='الإعدادات'!$Q$10),"",IF(COUNTIFS($B$3:$B$302,$B215,$D$3:$D$302,"&lt;="&amp;$E215,$E$3:$E$302,"&gt;="&amp;$D215,$H$3:$H$302,"&lt;&gt;"&amp;'الإعدادات'!$Q$10)&gt;1,"يتداخل مع زميل في الفرع",""))</f>
        <v/>
      </c>
    </row>
    <row r="216">
      <c r="A216" s="4" t="n"/>
      <c r="B216" s="8">
        <f>IF($A216="","",IFERROR(INDEX(StaffBranch,MATCH($A216,Staff,0)),""))</f>
        <v/>
      </c>
      <c r="C216" s="4" t="n"/>
      <c r="D216" s="12" t="n"/>
      <c r="E216" s="12" t="n"/>
      <c r="F216" s="28">
        <f>IF(OR($D216="",$E216=""),"",_xlfn.NETWORKDAYS.INTL($D216,$E216,Weekend))</f>
        <v/>
      </c>
      <c r="G216" s="4" t="n"/>
      <c r="H216" s="4" t="n"/>
      <c r="I216" s="8">
        <f>IF(OR($A216="",$H216='الإعدادات'!$Q$10),"",IF(COUNTIFS($B$3:$B$302,$B216,$D$3:$D$302,"&lt;="&amp;$E216,$E$3:$E$302,"&gt;="&amp;$D216,$H$3:$H$302,"&lt;&gt;"&amp;'الإعدادات'!$Q$10)&gt;1,"يتداخل مع زميل في الفرع",""))</f>
        <v/>
      </c>
    </row>
    <row r="217">
      <c r="A217" s="4" t="n"/>
      <c r="B217" s="8">
        <f>IF($A217="","",IFERROR(INDEX(StaffBranch,MATCH($A217,Staff,0)),""))</f>
        <v/>
      </c>
      <c r="C217" s="4" t="n"/>
      <c r="D217" s="12" t="n"/>
      <c r="E217" s="12" t="n"/>
      <c r="F217" s="28">
        <f>IF(OR($D217="",$E217=""),"",_xlfn.NETWORKDAYS.INTL($D217,$E217,Weekend))</f>
        <v/>
      </c>
      <c r="G217" s="4" t="n"/>
      <c r="H217" s="4" t="n"/>
      <c r="I217" s="8">
        <f>IF(OR($A217="",$H217='الإعدادات'!$Q$10),"",IF(COUNTIFS($B$3:$B$302,$B217,$D$3:$D$302,"&lt;="&amp;$E217,$E$3:$E$302,"&gt;="&amp;$D217,$H$3:$H$302,"&lt;&gt;"&amp;'الإعدادات'!$Q$10)&gt;1,"يتداخل مع زميل في الفرع",""))</f>
        <v/>
      </c>
    </row>
    <row r="218">
      <c r="A218" s="4" t="n"/>
      <c r="B218" s="8">
        <f>IF($A218="","",IFERROR(INDEX(StaffBranch,MATCH($A218,Staff,0)),""))</f>
        <v/>
      </c>
      <c r="C218" s="4" t="n"/>
      <c r="D218" s="12" t="n"/>
      <c r="E218" s="12" t="n"/>
      <c r="F218" s="28">
        <f>IF(OR($D218="",$E218=""),"",_xlfn.NETWORKDAYS.INTL($D218,$E218,Weekend))</f>
        <v/>
      </c>
      <c r="G218" s="4" t="n"/>
      <c r="H218" s="4" t="n"/>
      <c r="I218" s="8">
        <f>IF(OR($A218="",$H218='الإعدادات'!$Q$10),"",IF(COUNTIFS($B$3:$B$302,$B218,$D$3:$D$302,"&lt;="&amp;$E218,$E$3:$E$302,"&gt;="&amp;$D218,$H$3:$H$302,"&lt;&gt;"&amp;'الإعدادات'!$Q$10)&gt;1,"يتداخل مع زميل في الفرع",""))</f>
        <v/>
      </c>
    </row>
    <row r="219">
      <c r="A219" s="4" t="n"/>
      <c r="B219" s="8">
        <f>IF($A219="","",IFERROR(INDEX(StaffBranch,MATCH($A219,Staff,0)),""))</f>
        <v/>
      </c>
      <c r="C219" s="4" t="n"/>
      <c r="D219" s="12" t="n"/>
      <c r="E219" s="12" t="n"/>
      <c r="F219" s="28">
        <f>IF(OR($D219="",$E219=""),"",_xlfn.NETWORKDAYS.INTL($D219,$E219,Weekend))</f>
        <v/>
      </c>
      <c r="G219" s="4" t="n"/>
      <c r="H219" s="4" t="n"/>
      <c r="I219" s="8">
        <f>IF(OR($A219="",$H219='الإعدادات'!$Q$10),"",IF(COUNTIFS($B$3:$B$302,$B219,$D$3:$D$302,"&lt;="&amp;$E219,$E$3:$E$302,"&gt;="&amp;$D219,$H$3:$H$302,"&lt;&gt;"&amp;'الإعدادات'!$Q$10)&gt;1,"يتداخل مع زميل في الفرع",""))</f>
        <v/>
      </c>
    </row>
    <row r="220">
      <c r="A220" s="4" t="n"/>
      <c r="B220" s="8">
        <f>IF($A220="","",IFERROR(INDEX(StaffBranch,MATCH($A220,Staff,0)),""))</f>
        <v/>
      </c>
      <c r="C220" s="4" t="n"/>
      <c r="D220" s="12" t="n"/>
      <c r="E220" s="12" t="n"/>
      <c r="F220" s="28">
        <f>IF(OR($D220="",$E220=""),"",_xlfn.NETWORKDAYS.INTL($D220,$E220,Weekend))</f>
        <v/>
      </c>
      <c r="G220" s="4" t="n"/>
      <c r="H220" s="4" t="n"/>
      <c r="I220" s="8">
        <f>IF(OR($A220="",$H220='الإعدادات'!$Q$10),"",IF(COUNTIFS($B$3:$B$302,$B220,$D$3:$D$302,"&lt;="&amp;$E220,$E$3:$E$302,"&gt;="&amp;$D220,$H$3:$H$302,"&lt;&gt;"&amp;'الإعدادات'!$Q$10)&gt;1,"يتداخل مع زميل في الفرع",""))</f>
        <v/>
      </c>
    </row>
    <row r="221">
      <c r="A221" s="4" t="n"/>
      <c r="B221" s="8">
        <f>IF($A221="","",IFERROR(INDEX(StaffBranch,MATCH($A221,Staff,0)),""))</f>
        <v/>
      </c>
      <c r="C221" s="4" t="n"/>
      <c r="D221" s="12" t="n"/>
      <c r="E221" s="12" t="n"/>
      <c r="F221" s="28">
        <f>IF(OR($D221="",$E221=""),"",_xlfn.NETWORKDAYS.INTL($D221,$E221,Weekend))</f>
        <v/>
      </c>
      <c r="G221" s="4" t="n"/>
      <c r="H221" s="4" t="n"/>
      <c r="I221" s="8">
        <f>IF(OR($A221="",$H221='الإعدادات'!$Q$10),"",IF(COUNTIFS($B$3:$B$302,$B221,$D$3:$D$302,"&lt;="&amp;$E221,$E$3:$E$302,"&gt;="&amp;$D221,$H$3:$H$302,"&lt;&gt;"&amp;'الإعدادات'!$Q$10)&gt;1,"يتداخل مع زميل في الفرع",""))</f>
        <v/>
      </c>
    </row>
    <row r="222">
      <c r="A222" s="4" t="n"/>
      <c r="B222" s="8">
        <f>IF($A222="","",IFERROR(INDEX(StaffBranch,MATCH($A222,Staff,0)),""))</f>
        <v/>
      </c>
      <c r="C222" s="4" t="n"/>
      <c r="D222" s="12" t="n"/>
      <c r="E222" s="12" t="n"/>
      <c r="F222" s="28">
        <f>IF(OR($D222="",$E222=""),"",_xlfn.NETWORKDAYS.INTL($D222,$E222,Weekend))</f>
        <v/>
      </c>
      <c r="G222" s="4" t="n"/>
      <c r="H222" s="4" t="n"/>
      <c r="I222" s="8">
        <f>IF(OR($A222="",$H222='الإعدادات'!$Q$10),"",IF(COUNTIFS($B$3:$B$302,$B222,$D$3:$D$302,"&lt;="&amp;$E222,$E$3:$E$302,"&gt;="&amp;$D222,$H$3:$H$302,"&lt;&gt;"&amp;'الإعدادات'!$Q$10)&gt;1,"يتداخل مع زميل في الفرع",""))</f>
        <v/>
      </c>
    </row>
    <row r="223">
      <c r="A223" s="4" t="n"/>
      <c r="B223" s="8">
        <f>IF($A223="","",IFERROR(INDEX(StaffBranch,MATCH($A223,Staff,0)),""))</f>
        <v/>
      </c>
      <c r="C223" s="4" t="n"/>
      <c r="D223" s="12" t="n"/>
      <c r="E223" s="12" t="n"/>
      <c r="F223" s="28">
        <f>IF(OR($D223="",$E223=""),"",_xlfn.NETWORKDAYS.INTL($D223,$E223,Weekend))</f>
        <v/>
      </c>
      <c r="G223" s="4" t="n"/>
      <c r="H223" s="4" t="n"/>
      <c r="I223" s="8">
        <f>IF(OR($A223="",$H223='الإعدادات'!$Q$10),"",IF(COUNTIFS($B$3:$B$302,$B223,$D$3:$D$302,"&lt;="&amp;$E223,$E$3:$E$302,"&gt;="&amp;$D223,$H$3:$H$302,"&lt;&gt;"&amp;'الإعدادات'!$Q$10)&gt;1,"يتداخل مع زميل في الفرع",""))</f>
        <v/>
      </c>
    </row>
    <row r="224">
      <c r="A224" s="4" t="n"/>
      <c r="B224" s="8">
        <f>IF($A224="","",IFERROR(INDEX(StaffBranch,MATCH($A224,Staff,0)),""))</f>
        <v/>
      </c>
      <c r="C224" s="4" t="n"/>
      <c r="D224" s="12" t="n"/>
      <c r="E224" s="12" t="n"/>
      <c r="F224" s="28">
        <f>IF(OR($D224="",$E224=""),"",_xlfn.NETWORKDAYS.INTL($D224,$E224,Weekend))</f>
        <v/>
      </c>
      <c r="G224" s="4" t="n"/>
      <c r="H224" s="4" t="n"/>
      <c r="I224" s="8">
        <f>IF(OR($A224="",$H224='الإعدادات'!$Q$10),"",IF(COUNTIFS($B$3:$B$302,$B224,$D$3:$D$302,"&lt;="&amp;$E224,$E$3:$E$302,"&gt;="&amp;$D224,$H$3:$H$302,"&lt;&gt;"&amp;'الإعدادات'!$Q$10)&gt;1,"يتداخل مع زميل في الفرع",""))</f>
        <v/>
      </c>
    </row>
    <row r="225">
      <c r="A225" s="4" t="n"/>
      <c r="B225" s="8">
        <f>IF($A225="","",IFERROR(INDEX(StaffBranch,MATCH($A225,Staff,0)),""))</f>
        <v/>
      </c>
      <c r="C225" s="4" t="n"/>
      <c r="D225" s="12" t="n"/>
      <c r="E225" s="12" t="n"/>
      <c r="F225" s="28">
        <f>IF(OR($D225="",$E225=""),"",_xlfn.NETWORKDAYS.INTL($D225,$E225,Weekend))</f>
        <v/>
      </c>
      <c r="G225" s="4" t="n"/>
      <c r="H225" s="4" t="n"/>
      <c r="I225" s="8">
        <f>IF(OR($A225="",$H225='الإعدادات'!$Q$10),"",IF(COUNTIFS($B$3:$B$302,$B225,$D$3:$D$302,"&lt;="&amp;$E225,$E$3:$E$302,"&gt;="&amp;$D225,$H$3:$H$302,"&lt;&gt;"&amp;'الإعدادات'!$Q$10)&gt;1,"يتداخل مع زميل في الفرع",""))</f>
        <v/>
      </c>
    </row>
    <row r="226">
      <c r="A226" s="4" t="n"/>
      <c r="B226" s="8">
        <f>IF($A226="","",IFERROR(INDEX(StaffBranch,MATCH($A226,Staff,0)),""))</f>
        <v/>
      </c>
      <c r="C226" s="4" t="n"/>
      <c r="D226" s="12" t="n"/>
      <c r="E226" s="12" t="n"/>
      <c r="F226" s="28">
        <f>IF(OR($D226="",$E226=""),"",_xlfn.NETWORKDAYS.INTL($D226,$E226,Weekend))</f>
        <v/>
      </c>
      <c r="G226" s="4" t="n"/>
      <c r="H226" s="4" t="n"/>
      <c r="I226" s="8">
        <f>IF(OR($A226="",$H226='الإعدادات'!$Q$10),"",IF(COUNTIFS($B$3:$B$302,$B226,$D$3:$D$302,"&lt;="&amp;$E226,$E$3:$E$302,"&gt;="&amp;$D226,$H$3:$H$302,"&lt;&gt;"&amp;'الإعدادات'!$Q$10)&gt;1,"يتداخل مع زميل في الفرع",""))</f>
        <v/>
      </c>
    </row>
    <row r="227">
      <c r="A227" s="4" t="n"/>
      <c r="B227" s="8">
        <f>IF($A227="","",IFERROR(INDEX(StaffBranch,MATCH($A227,Staff,0)),""))</f>
        <v/>
      </c>
      <c r="C227" s="4" t="n"/>
      <c r="D227" s="12" t="n"/>
      <c r="E227" s="12" t="n"/>
      <c r="F227" s="28">
        <f>IF(OR($D227="",$E227=""),"",_xlfn.NETWORKDAYS.INTL($D227,$E227,Weekend))</f>
        <v/>
      </c>
      <c r="G227" s="4" t="n"/>
      <c r="H227" s="4" t="n"/>
      <c r="I227" s="8">
        <f>IF(OR($A227="",$H227='الإعدادات'!$Q$10),"",IF(COUNTIFS($B$3:$B$302,$B227,$D$3:$D$302,"&lt;="&amp;$E227,$E$3:$E$302,"&gt;="&amp;$D227,$H$3:$H$302,"&lt;&gt;"&amp;'الإعدادات'!$Q$10)&gt;1,"يتداخل مع زميل في الفرع",""))</f>
        <v/>
      </c>
    </row>
    <row r="228">
      <c r="A228" s="4" t="n"/>
      <c r="B228" s="8">
        <f>IF($A228="","",IFERROR(INDEX(StaffBranch,MATCH($A228,Staff,0)),""))</f>
        <v/>
      </c>
      <c r="C228" s="4" t="n"/>
      <c r="D228" s="12" t="n"/>
      <c r="E228" s="12" t="n"/>
      <c r="F228" s="28">
        <f>IF(OR($D228="",$E228=""),"",_xlfn.NETWORKDAYS.INTL($D228,$E228,Weekend))</f>
        <v/>
      </c>
      <c r="G228" s="4" t="n"/>
      <c r="H228" s="4" t="n"/>
      <c r="I228" s="8">
        <f>IF(OR($A228="",$H228='الإعدادات'!$Q$10),"",IF(COUNTIFS($B$3:$B$302,$B228,$D$3:$D$302,"&lt;="&amp;$E228,$E$3:$E$302,"&gt;="&amp;$D228,$H$3:$H$302,"&lt;&gt;"&amp;'الإعدادات'!$Q$10)&gt;1,"يتداخل مع زميل في الفرع",""))</f>
        <v/>
      </c>
    </row>
    <row r="229">
      <c r="A229" s="4" t="n"/>
      <c r="B229" s="8">
        <f>IF($A229="","",IFERROR(INDEX(StaffBranch,MATCH($A229,Staff,0)),""))</f>
        <v/>
      </c>
      <c r="C229" s="4" t="n"/>
      <c r="D229" s="12" t="n"/>
      <c r="E229" s="12" t="n"/>
      <c r="F229" s="28">
        <f>IF(OR($D229="",$E229=""),"",_xlfn.NETWORKDAYS.INTL($D229,$E229,Weekend))</f>
        <v/>
      </c>
      <c r="G229" s="4" t="n"/>
      <c r="H229" s="4" t="n"/>
      <c r="I229" s="8">
        <f>IF(OR($A229="",$H229='الإعدادات'!$Q$10),"",IF(COUNTIFS($B$3:$B$302,$B229,$D$3:$D$302,"&lt;="&amp;$E229,$E$3:$E$302,"&gt;="&amp;$D229,$H$3:$H$302,"&lt;&gt;"&amp;'الإعدادات'!$Q$10)&gt;1,"يتداخل مع زميل في الفرع",""))</f>
        <v/>
      </c>
    </row>
    <row r="230">
      <c r="A230" s="4" t="n"/>
      <c r="B230" s="8">
        <f>IF($A230="","",IFERROR(INDEX(StaffBranch,MATCH($A230,Staff,0)),""))</f>
        <v/>
      </c>
      <c r="C230" s="4" t="n"/>
      <c r="D230" s="12" t="n"/>
      <c r="E230" s="12" t="n"/>
      <c r="F230" s="28">
        <f>IF(OR($D230="",$E230=""),"",_xlfn.NETWORKDAYS.INTL($D230,$E230,Weekend))</f>
        <v/>
      </c>
      <c r="G230" s="4" t="n"/>
      <c r="H230" s="4" t="n"/>
      <c r="I230" s="8">
        <f>IF(OR($A230="",$H230='الإعدادات'!$Q$10),"",IF(COUNTIFS($B$3:$B$302,$B230,$D$3:$D$302,"&lt;="&amp;$E230,$E$3:$E$302,"&gt;="&amp;$D230,$H$3:$H$302,"&lt;&gt;"&amp;'الإعدادات'!$Q$10)&gt;1,"يتداخل مع زميل في الفرع",""))</f>
        <v/>
      </c>
    </row>
    <row r="231">
      <c r="A231" s="4" t="n"/>
      <c r="B231" s="8">
        <f>IF($A231="","",IFERROR(INDEX(StaffBranch,MATCH($A231,Staff,0)),""))</f>
        <v/>
      </c>
      <c r="C231" s="4" t="n"/>
      <c r="D231" s="12" t="n"/>
      <c r="E231" s="12" t="n"/>
      <c r="F231" s="28">
        <f>IF(OR($D231="",$E231=""),"",_xlfn.NETWORKDAYS.INTL($D231,$E231,Weekend))</f>
        <v/>
      </c>
      <c r="G231" s="4" t="n"/>
      <c r="H231" s="4" t="n"/>
      <c r="I231" s="8">
        <f>IF(OR($A231="",$H231='الإعدادات'!$Q$10),"",IF(COUNTIFS($B$3:$B$302,$B231,$D$3:$D$302,"&lt;="&amp;$E231,$E$3:$E$302,"&gt;="&amp;$D231,$H$3:$H$302,"&lt;&gt;"&amp;'الإعدادات'!$Q$10)&gt;1,"يتداخل مع زميل في الفرع",""))</f>
        <v/>
      </c>
    </row>
    <row r="232">
      <c r="A232" s="4" t="n"/>
      <c r="B232" s="8">
        <f>IF($A232="","",IFERROR(INDEX(StaffBranch,MATCH($A232,Staff,0)),""))</f>
        <v/>
      </c>
      <c r="C232" s="4" t="n"/>
      <c r="D232" s="12" t="n"/>
      <c r="E232" s="12" t="n"/>
      <c r="F232" s="28">
        <f>IF(OR($D232="",$E232=""),"",_xlfn.NETWORKDAYS.INTL($D232,$E232,Weekend))</f>
        <v/>
      </c>
      <c r="G232" s="4" t="n"/>
      <c r="H232" s="4" t="n"/>
      <c r="I232" s="8">
        <f>IF(OR($A232="",$H232='الإعدادات'!$Q$10),"",IF(COUNTIFS($B$3:$B$302,$B232,$D$3:$D$302,"&lt;="&amp;$E232,$E$3:$E$302,"&gt;="&amp;$D232,$H$3:$H$302,"&lt;&gt;"&amp;'الإعدادات'!$Q$10)&gt;1,"يتداخل مع زميل في الفرع",""))</f>
        <v/>
      </c>
    </row>
    <row r="233">
      <c r="A233" s="4" t="n"/>
      <c r="B233" s="8">
        <f>IF($A233="","",IFERROR(INDEX(StaffBranch,MATCH($A233,Staff,0)),""))</f>
        <v/>
      </c>
      <c r="C233" s="4" t="n"/>
      <c r="D233" s="12" t="n"/>
      <c r="E233" s="12" t="n"/>
      <c r="F233" s="28">
        <f>IF(OR($D233="",$E233=""),"",_xlfn.NETWORKDAYS.INTL($D233,$E233,Weekend))</f>
        <v/>
      </c>
      <c r="G233" s="4" t="n"/>
      <c r="H233" s="4" t="n"/>
      <c r="I233" s="8">
        <f>IF(OR($A233="",$H233='الإعدادات'!$Q$10),"",IF(COUNTIFS($B$3:$B$302,$B233,$D$3:$D$302,"&lt;="&amp;$E233,$E$3:$E$302,"&gt;="&amp;$D233,$H$3:$H$302,"&lt;&gt;"&amp;'الإعدادات'!$Q$10)&gt;1,"يتداخل مع زميل في الفرع",""))</f>
        <v/>
      </c>
    </row>
    <row r="234">
      <c r="A234" s="4" t="n"/>
      <c r="B234" s="8">
        <f>IF($A234="","",IFERROR(INDEX(StaffBranch,MATCH($A234,Staff,0)),""))</f>
        <v/>
      </c>
      <c r="C234" s="4" t="n"/>
      <c r="D234" s="12" t="n"/>
      <c r="E234" s="12" t="n"/>
      <c r="F234" s="28">
        <f>IF(OR($D234="",$E234=""),"",_xlfn.NETWORKDAYS.INTL($D234,$E234,Weekend))</f>
        <v/>
      </c>
      <c r="G234" s="4" t="n"/>
      <c r="H234" s="4" t="n"/>
      <c r="I234" s="8">
        <f>IF(OR($A234="",$H234='الإعدادات'!$Q$10),"",IF(COUNTIFS($B$3:$B$302,$B234,$D$3:$D$302,"&lt;="&amp;$E234,$E$3:$E$302,"&gt;="&amp;$D234,$H$3:$H$302,"&lt;&gt;"&amp;'الإعدادات'!$Q$10)&gt;1,"يتداخل مع زميل في الفرع",""))</f>
        <v/>
      </c>
    </row>
    <row r="235">
      <c r="A235" s="4" t="n"/>
      <c r="B235" s="8">
        <f>IF($A235="","",IFERROR(INDEX(StaffBranch,MATCH($A235,Staff,0)),""))</f>
        <v/>
      </c>
      <c r="C235" s="4" t="n"/>
      <c r="D235" s="12" t="n"/>
      <c r="E235" s="12" t="n"/>
      <c r="F235" s="28">
        <f>IF(OR($D235="",$E235=""),"",_xlfn.NETWORKDAYS.INTL($D235,$E235,Weekend))</f>
        <v/>
      </c>
      <c r="G235" s="4" t="n"/>
      <c r="H235" s="4" t="n"/>
      <c r="I235" s="8">
        <f>IF(OR($A235="",$H235='الإعدادات'!$Q$10),"",IF(COUNTIFS($B$3:$B$302,$B235,$D$3:$D$302,"&lt;="&amp;$E235,$E$3:$E$302,"&gt;="&amp;$D235,$H$3:$H$302,"&lt;&gt;"&amp;'الإعدادات'!$Q$10)&gt;1,"يتداخل مع زميل في الفرع",""))</f>
        <v/>
      </c>
    </row>
    <row r="236">
      <c r="A236" s="4" t="n"/>
      <c r="B236" s="8">
        <f>IF($A236="","",IFERROR(INDEX(StaffBranch,MATCH($A236,Staff,0)),""))</f>
        <v/>
      </c>
      <c r="C236" s="4" t="n"/>
      <c r="D236" s="12" t="n"/>
      <c r="E236" s="12" t="n"/>
      <c r="F236" s="28">
        <f>IF(OR($D236="",$E236=""),"",_xlfn.NETWORKDAYS.INTL($D236,$E236,Weekend))</f>
        <v/>
      </c>
      <c r="G236" s="4" t="n"/>
      <c r="H236" s="4" t="n"/>
      <c r="I236" s="8">
        <f>IF(OR($A236="",$H236='الإعدادات'!$Q$10),"",IF(COUNTIFS($B$3:$B$302,$B236,$D$3:$D$302,"&lt;="&amp;$E236,$E$3:$E$302,"&gt;="&amp;$D236,$H$3:$H$302,"&lt;&gt;"&amp;'الإعدادات'!$Q$10)&gt;1,"يتداخل مع زميل في الفرع",""))</f>
        <v/>
      </c>
    </row>
    <row r="237">
      <c r="A237" s="4" t="n"/>
      <c r="B237" s="8">
        <f>IF($A237="","",IFERROR(INDEX(StaffBranch,MATCH($A237,Staff,0)),""))</f>
        <v/>
      </c>
      <c r="C237" s="4" t="n"/>
      <c r="D237" s="12" t="n"/>
      <c r="E237" s="12" t="n"/>
      <c r="F237" s="28">
        <f>IF(OR($D237="",$E237=""),"",_xlfn.NETWORKDAYS.INTL($D237,$E237,Weekend))</f>
        <v/>
      </c>
      <c r="G237" s="4" t="n"/>
      <c r="H237" s="4" t="n"/>
      <c r="I237" s="8">
        <f>IF(OR($A237="",$H237='الإعدادات'!$Q$10),"",IF(COUNTIFS($B$3:$B$302,$B237,$D$3:$D$302,"&lt;="&amp;$E237,$E$3:$E$302,"&gt;="&amp;$D237,$H$3:$H$302,"&lt;&gt;"&amp;'الإعدادات'!$Q$10)&gt;1,"يتداخل مع زميل في الفرع",""))</f>
        <v/>
      </c>
    </row>
    <row r="238">
      <c r="A238" s="4" t="n"/>
      <c r="B238" s="8">
        <f>IF($A238="","",IFERROR(INDEX(StaffBranch,MATCH($A238,Staff,0)),""))</f>
        <v/>
      </c>
      <c r="C238" s="4" t="n"/>
      <c r="D238" s="12" t="n"/>
      <c r="E238" s="12" t="n"/>
      <c r="F238" s="28">
        <f>IF(OR($D238="",$E238=""),"",_xlfn.NETWORKDAYS.INTL($D238,$E238,Weekend))</f>
        <v/>
      </c>
      <c r="G238" s="4" t="n"/>
      <c r="H238" s="4" t="n"/>
      <c r="I238" s="8">
        <f>IF(OR($A238="",$H238='الإعدادات'!$Q$10),"",IF(COUNTIFS($B$3:$B$302,$B238,$D$3:$D$302,"&lt;="&amp;$E238,$E$3:$E$302,"&gt;="&amp;$D238,$H$3:$H$302,"&lt;&gt;"&amp;'الإعدادات'!$Q$10)&gt;1,"يتداخل مع زميل في الفرع",""))</f>
        <v/>
      </c>
    </row>
    <row r="239">
      <c r="A239" s="4" t="n"/>
      <c r="B239" s="8">
        <f>IF($A239="","",IFERROR(INDEX(StaffBranch,MATCH($A239,Staff,0)),""))</f>
        <v/>
      </c>
      <c r="C239" s="4" t="n"/>
      <c r="D239" s="12" t="n"/>
      <c r="E239" s="12" t="n"/>
      <c r="F239" s="28">
        <f>IF(OR($D239="",$E239=""),"",_xlfn.NETWORKDAYS.INTL($D239,$E239,Weekend))</f>
        <v/>
      </c>
      <c r="G239" s="4" t="n"/>
      <c r="H239" s="4" t="n"/>
      <c r="I239" s="8">
        <f>IF(OR($A239="",$H239='الإعدادات'!$Q$10),"",IF(COUNTIFS($B$3:$B$302,$B239,$D$3:$D$302,"&lt;="&amp;$E239,$E$3:$E$302,"&gt;="&amp;$D239,$H$3:$H$302,"&lt;&gt;"&amp;'الإعدادات'!$Q$10)&gt;1,"يتداخل مع زميل في الفرع",""))</f>
        <v/>
      </c>
    </row>
    <row r="240">
      <c r="A240" s="4" t="n"/>
      <c r="B240" s="8">
        <f>IF($A240="","",IFERROR(INDEX(StaffBranch,MATCH($A240,Staff,0)),""))</f>
        <v/>
      </c>
      <c r="C240" s="4" t="n"/>
      <c r="D240" s="12" t="n"/>
      <c r="E240" s="12" t="n"/>
      <c r="F240" s="28">
        <f>IF(OR($D240="",$E240=""),"",_xlfn.NETWORKDAYS.INTL($D240,$E240,Weekend))</f>
        <v/>
      </c>
      <c r="G240" s="4" t="n"/>
      <c r="H240" s="4" t="n"/>
      <c r="I240" s="8">
        <f>IF(OR($A240="",$H240='الإعدادات'!$Q$10),"",IF(COUNTIFS($B$3:$B$302,$B240,$D$3:$D$302,"&lt;="&amp;$E240,$E$3:$E$302,"&gt;="&amp;$D240,$H$3:$H$302,"&lt;&gt;"&amp;'الإعدادات'!$Q$10)&gt;1,"يتداخل مع زميل في الفرع",""))</f>
        <v/>
      </c>
    </row>
    <row r="241">
      <c r="A241" s="4" t="n"/>
      <c r="B241" s="8">
        <f>IF($A241="","",IFERROR(INDEX(StaffBranch,MATCH($A241,Staff,0)),""))</f>
        <v/>
      </c>
      <c r="C241" s="4" t="n"/>
      <c r="D241" s="12" t="n"/>
      <c r="E241" s="12" t="n"/>
      <c r="F241" s="28">
        <f>IF(OR($D241="",$E241=""),"",_xlfn.NETWORKDAYS.INTL($D241,$E241,Weekend))</f>
        <v/>
      </c>
      <c r="G241" s="4" t="n"/>
      <c r="H241" s="4" t="n"/>
      <c r="I241" s="8">
        <f>IF(OR($A241="",$H241='الإعدادات'!$Q$10),"",IF(COUNTIFS($B$3:$B$302,$B241,$D$3:$D$302,"&lt;="&amp;$E241,$E$3:$E$302,"&gt;="&amp;$D241,$H$3:$H$302,"&lt;&gt;"&amp;'الإعدادات'!$Q$10)&gt;1,"يتداخل مع زميل في الفرع",""))</f>
        <v/>
      </c>
    </row>
    <row r="242">
      <c r="A242" s="4" t="n"/>
      <c r="B242" s="8">
        <f>IF($A242="","",IFERROR(INDEX(StaffBranch,MATCH($A242,Staff,0)),""))</f>
        <v/>
      </c>
      <c r="C242" s="4" t="n"/>
      <c r="D242" s="12" t="n"/>
      <c r="E242" s="12" t="n"/>
      <c r="F242" s="28">
        <f>IF(OR($D242="",$E242=""),"",_xlfn.NETWORKDAYS.INTL($D242,$E242,Weekend))</f>
        <v/>
      </c>
      <c r="G242" s="4" t="n"/>
      <c r="H242" s="4" t="n"/>
      <c r="I242" s="8">
        <f>IF(OR($A242="",$H242='الإعدادات'!$Q$10),"",IF(COUNTIFS($B$3:$B$302,$B242,$D$3:$D$302,"&lt;="&amp;$E242,$E$3:$E$302,"&gt;="&amp;$D242,$H$3:$H$302,"&lt;&gt;"&amp;'الإعدادات'!$Q$10)&gt;1,"يتداخل مع زميل في الفرع",""))</f>
        <v/>
      </c>
    </row>
    <row r="243">
      <c r="A243" s="4" t="n"/>
      <c r="B243" s="8">
        <f>IF($A243="","",IFERROR(INDEX(StaffBranch,MATCH($A243,Staff,0)),""))</f>
        <v/>
      </c>
      <c r="C243" s="4" t="n"/>
      <c r="D243" s="12" t="n"/>
      <c r="E243" s="12" t="n"/>
      <c r="F243" s="28">
        <f>IF(OR($D243="",$E243=""),"",_xlfn.NETWORKDAYS.INTL($D243,$E243,Weekend))</f>
        <v/>
      </c>
      <c r="G243" s="4" t="n"/>
      <c r="H243" s="4" t="n"/>
      <c r="I243" s="8">
        <f>IF(OR($A243="",$H243='الإعدادات'!$Q$10),"",IF(COUNTIFS($B$3:$B$302,$B243,$D$3:$D$302,"&lt;="&amp;$E243,$E$3:$E$302,"&gt;="&amp;$D243,$H$3:$H$302,"&lt;&gt;"&amp;'الإعدادات'!$Q$10)&gt;1,"يتداخل مع زميل في الفرع",""))</f>
        <v/>
      </c>
    </row>
    <row r="244">
      <c r="A244" s="4" t="n"/>
      <c r="B244" s="8">
        <f>IF($A244="","",IFERROR(INDEX(StaffBranch,MATCH($A244,Staff,0)),""))</f>
        <v/>
      </c>
      <c r="C244" s="4" t="n"/>
      <c r="D244" s="12" t="n"/>
      <c r="E244" s="12" t="n"/>
      <c r="F244" s="28">
        <f>IF(OR($D244="",$E244=""),"",_xlfn.NETWORKDAYS.INTL($D244,$E244,Weekend))</f>
        <v/>
      </c>
      <c r="G244" s="4" t="n"/>
      <c r="H244" s="4" t="n"/>
      <c r="I244" s="8">
        <f>IF(OR($A244="",$H244='الإعدادات'!$Q$10),"",IF(COUNTIFS($B$3:$B$302,$B244,$D$3:$D$302,"&lt;="&amp;$E244,$E$3:$E$302,"&gt;="&amp;$D244,$H$3:$H$302,"&lt;&gt;"&amp;'الإعدادات'!$Q$10)&gt;1,"يتداخل مع زميل في الفرع",""))</f>
        <v/>
      </c>
    </row>
    <row r="245">
      <c r="A245" s="4" t="n"/>
      <c r="B245" s="8">
        <f>IF($A245="","",IFERROR(INDEX(StaffBranch,MATCH($A245,Staff,0)),""))</f>
        <v/>
      </c>
      <c r="C245" s="4" t="n"/>
      <c r="D245" s="12" t="n"/>
      <c r="E245" s="12" t="n"/>
      <c r="F245" s="28">
        <f>IF(OR($D245="",$E245=""),"",_xlfn.NETWORKDAYS.INTL($D245,$E245,Weekend))</f>
        <v/>
      </c>
      <c r="G245" s="4" t="n"/>
      <c r="H245" s="4" t="n"/>
      <c r="I245" s="8">
        <f>IF(OR($A245="",$H245='الإعدادات'!$Q$10),"",IF(COUNTIFS($B$3:$B$302,$B245,$D$3:$D$302,"&lt;="&amp;$E245,$E$3:$E$302,"&gt;="&amp;$D245,$H$3:$H$302,"&lt;&gt;"&amp;'الإعدادات'!$Q$10)&gt;1,"يتداخل مع زميل في الفرع",""))</f>
        <v/>
      </c>
    </row>
    <row r="246">
      <c r="A246" s="4" t="n"/>
      <c r="B246" s="8">
        <f>IF($A246="","",IFERROR(INDEX(StaffBranch,MATCH($A246,Staff,0)),""))</f>
        <v/>
      </c>
      <c r="C246" s="4" t="n"/>
      <c r="D246" s="12" t="n"/>
      <c r="E246" s="12" t="n"/>
      <c r="F246" s="28">
        <f>IF(OR($D246="",$E246=""),"",_xlfn.NETWORKDAYS.INTL($D246,$E246,Weekend))</f>
        <v/>
      </c>
      <c r="G246" s="4" t="n"/>
      <c r="H246" s="4" t="n"/>
      <c r="I246" s="8">
        <f>IF(OR($A246="",$H246='الإعدادات'!$Q$10),"",IF(COUNTIFS($B$3:$B$302,$B246,$D$3:$D$302,"&lt;="&amp;$E246,$E$3:$E$302,"&gt;="&amp;$D246,$H$3:$H$302,"&lt;&gt;"&amp;'الإعدادات'!$Q$10)&gt;1,"يتداخل مع زميل في الفرع",""))</f>
        <v/>
      </c>
    </row>
    <row r="247">
      <c r="A247" s="4" t="n"/>
      <c r="B247" s="8">
        <f>IF($A247="","",IFERROR(INDEX(StaffBranch,MATCH($A247,Staff,0)),""))</f>
        <v/>
      </c>
      <c r="C247" s="4" t="n"/>
      <c r="D247" s="12" t="n"/>
      <c r="E247" s="12" t="n"/>
      <c r="F247" s="28">
        <f>IF(OR($D247="",$E247=""),"",_xlfn.NETWORKDAYS.INTL($D247,$E247,Weekend))</f>
        <v/>
      </c>
      <c r="G247" s="4" t="n"/>
      <c r="H247" s="4" t="n"/>
      <c r="I247" s="8">
        <f>IF(OR($A247="",$H247='الإعدادات'!$Q$10),"",IF(COUNTIFS($B$3:$B$302,$B247,$D$3:$D$302,"&lt;="&amp;$E247,$E$3:$E$302,"&gt;="&amp;$D247,$H$3:$H$302,"&lt;&gt;"&amp;'الإعدادات'!$Q$10)&gt;1,"يتداخل مع زميل في الفرع",""))</f>
        <v/>
      </c>
    </row>
    <row r="248">
      <c r="A248" s="4" t="n"/>
      <c r="B248" s="8">
        <f>IF($A248="","",IFERROR(INDEX(StaffBranch,MATCH($A248,Staff,0)),""))</f>
        <v/>
      </c>
      <c r="C248" s="4" t="n"/>
      <c r="D248" s="12" t="n"/>
      <c r="E248" s="12" t="n"/>
      <c r="F248" s="28">
        <f>IF(OR($D248="",$E248=""),"",_xlfn.NETWORKDAYS.INTL($D248,$E248,Weekend))</f>
        <v/>
      </c>
      <c r="G248" s="4" t="n"/>
      <c r="H248" s="4" t="n"/>
      <c r="I248" s="8">
        <f>IF(OR($A248="",$H248='الإعدادات'!$Q$10),"",IF(COUNTIFS($B$3:$B$302,$B248,$D$3:$D$302,"&lt;="&amp;$E248,$E$3:$E$302,"&gt;="&amp;$D248,$H$3:$H$302,"&lt;&gt;"&amp;'الإعدادات'!$Q$10)&gt;1,"يتداخل مع زميل في الفرع",""))</f>
        <v/>
      </c>
    </row>
    <row r="249">
      <c r="A249" s="4" t="n"/>
      <c r="B249" s="8">
        <f>IF($A249="","",IFERROR(INDEX(StaffBranch,MATCH($A249,Staff,0)),""))</f>
        <v/>
      </c>
      <c r="C249" s="4" t="n"/>
      <c r="D249" s="12" t="n"/>
      <c r="E249" s="12" t="n"/>
      <c r="F249" s="28">
        <f>IF(OR($D249="",$E249=""),"",_xlfn.NETWORKDAYS.INTL($D249,$E249,Weekend))</f>
        <v/>
      </c>
      <c r="G249" s="4" t="n"/>
      <c r="H249" s="4" t="n"/>
      <c r="I249" s="8">
        <f>IF(OR($A249="",$H249='الإعدادات'!$Q$10),"",IF(COUNTIFS($B$3:$B$302,$B249,$D$3:$D$302,"&lt;="&amp;$E249,$E$3:$E$302,"&gt;="&amp;$D249,$H$3:$H$302,"&lt;&gt;"&amp;'الإعدادات'!$Q$10)&gt;1,"يتداخل مع زميل في الفرع",""))</f>
        <v/>
      </c>
    </row>
    <row r="250">
      <c r="A250" s="4" t="n"/>
      <c r="B250" s="8">
        <f>IF($A250="","",IFERROR(INDEX(StaffBranch,MATCH($A250,Staff,0)),""))</f>
        <v/>
      </c>
      <c r="C250" s="4" t="n"/>
      <c r="D250" s="12" t="n"/>
      <c r="E250" s="12" t="n"/>
      <c r="F250" s="28">
        <f>IF(OR($D250="",$E250=""),"",_xlfn.NETWORKDAYS.INTL($D250,$E250,Weekend))</f>
        <v/>
      </c>
      <c r="G250" s="4" t="n"/>
      <c r="H250" s="4" t="n"/>
      <c r="I250" s="8">
        <f>IF(OR($A250="",$H250='الإعدادات'!$Q$10),"",IF(COUNTIFS($B$3:$B$302,$B250,$D$3:$D$302,"&lt;="&amp;$E250,$E$3:$E$302,"&gt;="&amp;$D250,$H$3:$H$302,"&lt;&gt;"&amp;'الإعدادات'!$Q$10)&gt;1,"يتداخل مع زميل في الفرع",""))</f>
        <v/>
      </c>
    </row>
    <row r="251">
      <c r="A251" s="4" t="n"/>
      <c r="B251" s="8">
        <f>IF($A251="","",IFERROR(INDEX(StaffBranch,MATCH($A251,Staff,0)),""))</f>
        <v/>
      </c>
      <c r="C251" s="4" t="n"/>
      <c r="D251" s="12" t="n"/>
      <c r="E251" s="12" t="n"/>
      <c r="F251" s="28">
        <f>IF(OR($D251="",$E251=""),"",_xlfn.NETWORKDAYS.INTL($D251,$E251,Weekend))</f>
        <v/>
      </c>
      <c r="G251" s="4" t="n"/>
      <c r="H251" s="4" t="n"/>
      <c r="I251" s="8">
        <f>IF(OR($A251="",$H251='الإعدادات'!$Q$10),"",IF(COUNTIFS($B$3:$B$302,$B251,$D$3:$D$302,"&lt;="&amp;$E251,$E$3:$E$302,"&gt;="&amp;$D251,$H$3:$H$302,"&lt;&gt;"&amp;'الإعدادات'!$Q$10)&gt;1,"يتداخل مع زميل في الفرع",""))</f>
        <v/>
      </c>
    </row>
    <row r="252">
      <c r="A252" s="4" t="n"/>
      <c r="B252" s="8">
        <f>IF($A252="","",IFERROR(INDEX(StaffBranch,MATCH($A252,Staff,0)),""))</f>
        <v/>
      </c>
      <c r="C252" s="4" t="n"/>
      <c r="D252" s="12" t="n"/>
      <c r="E252" s="12" t="n"/>
      <c r="F252" s="28">
        <f>IF(OR($D252="",$E252=""),"",_xlfn.NETWORKDAYS.INTL($D252,$E252,Weekend))</f>
        <v/>
      </c>
      <c r="G252" s="4" t="n"/>
      <c r="H252" s="4" t="n"/>
      <c r="I252" s="8">
        <f>IF(OR($A252="",$H252='الإعدادات'!$Q$10),"",IF(COUNTIFS($B$3:$B$302,$B252,$D$3:$D$302,"&lt;="&amp;$E252,$E$3:$E$302,"&gt;="&amp;$D252,$H$3:$H$302,"&lt;&gt;"&amp;'الإعدادات'!$Q$10)&gt;1,"يتداخل مع زميل في الفرع",""))</f>
        <v/>
      </c>
    </row>
    <row r="253">
      <c r="A253" s="4" t="n"/>
      <c r="B253" s="8">
        <f>IF($A253="","",IFERROR(INDEX(StaffBranch,MATCH($A253,Staff,0)),""))</f>
        <v/>
      </c>
      <c r="C253" s="4" t="n"/>
      <c r="D253" s="12" t="n"/>
      <c r="E253" s="12" t="n"/>
      <c r="F253" s="28">
        <f>IF(OR($D253="",$E253=""),"",_xlfn.NETWORKDAYS.INTL($D253,$E253,Weekend))</f>
        <v/>
      </c>
      <c r="G253" s="4" t="n"/>
      <c r="H253" s="4" t="n"/>
      <c r="I253" s="8">
        <f>IF(OR($A253="",$H253='الإعدادات'!$Q$10),"",IF(COUNTIFS($B$3:$B$302,$B253,$D$3:$D$302,"&lt;="&amp;$E253,$E$3:$E$302,"&gt;="&amp;$D253,$H$3:$H$302,"&lt;&gt;"&amp;'الإعدادات'!$Q$10)&gt;1,"يتداخل مع زميل في الفرع",""))</f>
        <v/>
      </c>
    </row>
    <row r="254">
      <c r="A254" s="4" t="n"/>
      <c r="B254" s="8">
        <f>IF($A254="","",IFERROR(INDEX(StaffBranch,MATCH($A254,Staff,0)),""))</f>
        <v/>
      </c>
      <c r="C254" s="4" t="n"/>
      <c r="D254" s="12" t="n"/>
      <c r="E254" s="12" t="n"/>
      <c r="F254" s="28">
        <f>IF(OR($D254="",$E254=""),"",_xlfn.NETWORKDAYS.INTL($D254,$E254,Weekend))</f>
        <v/>
      </c>
      <c r="G254" s="4" t="n"/>
      <c r="H254" s="4" t="n"/>
      <c r="I254" s="8">
        <f>IF(OR($A254="",$H254='الإعدادات'!$Q$10),"",IF(COUNTIFS($B$3:$B$302,$B254,$D$3:$D$302,"&lt;="&amp;$E254,$E$3:$E$302,"&gt;="&amp;$D254,$H$3:$H$302,"&lt;&gt;"&amp;'الإعدادات'!$Q$10)&gt;1,"يتداخل مع زميل في الفرع",""))</f>
        <v/>
      </c>
    </row>
    <row r="255">
      <c r="A255" s="4" t="n"/>
      <c r="B255" s="8">
        <f>IF($A255="","",IFERROR(INDEX(StaffBranch,MATCH($A255,Staff,0)),""))</f>
        <v/>
      </c>
      <c r="C255" s="4" t="n"/>
      <c r="D255" s="12" t="n"/>
      <c r="E255" s="12" t="n"/>
      <c r="F255" s="28">
        <f>IF(OR($D255="",$E255=""),"",_xlfn.NETWORKDAYS.INTL($D255,$E255,Weekend))</f>
        <v/>
      </c>
      <c r="G255" s="4" t="n"/>
      <c r="H255" s="4" t="n"/>
      <c r="I255" s="8">
        <f>IF(OR($A255="",$H255='الإعدادات'!$Q$10),"",IF(COUNTIFS($B$3:$B$302,$B255,$D$3:$D$302,"&lt;="&amp;$E255,$E$3:$E$302,"&gt;="&amp;$D255,$H$3:$H$302,"&lt;&gt;"&amp;'الإعدادات'!$Q$10)&gt;1,"يتداخل مع زميل في الفرع",""))</f>
        <v/>
      </c>
    </row>
    <row r="256">
      <c r="A256" s="4" t="n"/>
      <c r="B256" s="8">
        <f>IF($A256="","",IFERROR(INDEX(StaffBranch,MATCH($A256,Staff,0)),""))</f>
        <v/>
      </c>
      <c r="C256" s="4" t="n"/>
      <c r="D256" s="12" t="n"/>
      <c r="E256" s="12" t="n"/>
      <c r="F256" s="28">
        <f>IF(OR($D256="",$E256=""),"",_xlfn.NETWORKDAYS.INTL($D256,$E256,Weekend))</f>
        <v/>
      </c>
      <c r="G256" s="4" t="n"/>
      <c r="H256" s="4" t="n"/>
      <c r="I256" s="8">
        <f>IF(OR($A256="",$H256='الإعدادات'!$Q$10),"",IF(COUNTIFS($B$3:$B$302,$B256,$D$3:$D$302,"&lt;="&amp;$E256,$E$3:$E$302,"&gt;="&amp;$D256,$H$3:$H$302,"&lt;&gt;"&amp;'الإعدادات'!$Q$10)&gt;1,"يتداخل مع زميل في الفرع",""))</f>
        <v/>
      </c>
    </row>
    <row r="257">
      <c r="A257" s="4" t="n"/>
      <c r="B257" s="8">
        <f>IF($A257="","",IFERROR(INDEX(StaffBranch,MATCH($A257,Staff,0)),""))</f>
        <v/>
      </c>
      <c r="C257" s="4" t="n"/>
      <c r="D257" s="12" t="n"/>
      <c r="E257" s="12" t="n"/>
      <c r="F257" s="28">
        <f>IF(OR($D257="",$E257=""),"",_xlfn.NETWORKDAYS.INTL($D257,$E257,Weekend))</f>
        <v/>
      </c>
      <c r="G257" s="4" t="n"/>
      <c r="H257" s="4" t="n"/>
      <c r="I257" s="8">
        <f>IF(OR($A257="",$H257='الإعدادات'!$Q$10),"",IF(COUNTIFS($B$3:$B$302,$B257,$D$3:$D$302,"&lt;="&amp;$E257,$E$3:$E$302,"&gt;="&amp;$D257,$H$3:$H$302,"&lt;&gt;"&amp;'الإعدادات'!$Q$10)&gt;1,"يتداخل مع زميل في الفرع",""))</f>
        <v/>
      </c>
    </row>
    <row r="258">
      <c r="A258" s="4" t="n"/>
      <c r="B258" s="8">
        <f>IF($A258="","",IFERROR(INDEX(StaffBranch,MATCH($A258,Staff,0)),""))</f>
        <v/>
      </c>
      <c r="C258" s="4" t="n"/>
      <c r="D258" s="12" t="n"/>
      <c r="E258" s="12" t="n"/>
      <c r="F258" s="28">
        <f>IF(OR($D258="",$E258=""),"",_xlfn.NETWORKDAYS.INTL($D258,$E258,Weekend))</f>
        <v/>
      </c>
      <c r="G258" s="4" t="n"/>
      <c r="H258" s="4" t="n"/>
      <c r="I258" s="8">
        <f>IF(OR($A258="",$H258='الإعدادات'!$Q$10),"",IF(COUNTIFS($B$3:$B$302,$B258,$D$3:$D$302,"&lt;="&amp;$E258,$E$3:$E$302,"&gt;="&amp;$D258,$H$3:$H$302,"&lt;&gt;"&amp;'الإعدادات'!$Q$10)&gt;1,"يتداخل مع زميل في الفرع",""))</f>
        <v/>
      </c>
    </row>
    <row r="259">
      <c r="A259" s="4" t="n"/>
      <c r="B259" s="8">
        <f>IF($A259="","",IFERROR(INDEX(StaffBranch,MATCH($A259,Staff,0)),""))</f>
        <v/>
      </c>
      <c r="C259" s="4" t="n"/>
      <c r="D259" s="12" t="n"/>
      <c r="E259" s="12" t="n"/>
      <c r="F259" s="28">
        <f>IF(OR($D259="",$E259=""),"",_xlfn.NETWORKDAYS.INTL($D259,$E259,Weekend))</f>
        <v/>
      </c>
      <c r="G259" s="4" t="n"/>
      <c r="H259" s="4" t="n"/>
      <c r="I259" s="8">
        <f>IF(OR($A259="",$H259='الإعدادات'!$Q$10),"",IF(COUNTIFS($B$3:$B$302,$B259,$D$3:$D$302,"&lt;="&amp;$E259,$E$3:$E$302,"&gt;="&amp;$D259,$H$3:$H$302,"&lt;&gt;"&amp;'الإعدادات'!$Q$10)&gt;1,"يتداخل مع زميل في الفرع",""))</f>
        <v/>
      </c>
    </row>
    <row r="260">
      <c r="A260" s="4" t="n"/>
      <c r="B260" s="8">
        <f>IF($A260="","",IFERROR(INDEX(StaffBranch,MATCH($A260,Staff,0)),""))</f>
        <v/>
      </c>
      <c r="C260" s="4" t="n"/>
      <c r="D260" s="12" t="n"/>
      <c r="E260" s="12" t="n"/>
      <c r="F260" s="28">
        <f>IF(OR($D260="",$E260=""),"",_xlfn.NETWORKDAYS.INTL($D260,$E260,Weekend))</f>
        <v/>
      </c>
      <c r="G260" s="4" t="n"/>
      <c r="H260" s="4" t="n"/>
      <c r="I260" s="8">
        <f>IF(OR($A260="",$H260='الإعدادات'!$Q$10),"",IF(COUNTIFS($B$3:$B$302,$B260,$D$3:$D$302,"&lt;="&amp;$E260,$E$3:$E$302,"&gt;="&amp;$D260,$H$3:$H$302,"&lt;&gt;"&amp;'الإعدادات'!$Q$10)&gt;1,"يتداخل مع زميل في الفرع",""))</f>
        <v/>
      </c>
    </row>
    <row r="261">
      <c r="A261" s="4" t="n"/>
      <c r="B261" s="8">
        <f>IF($A261="","",IFERROR(INDEX(StaffBranch,MATCH($A261,Staff,0)),""))</f>
        <v/>
      </c>
      <c r="C261" s="4" t="n"/>
      <c r="D261" s="12" t="n"/>
      <c r="E261" s="12" t="n"/>
      <c r="F261" s="28">
        <f>IF(OR($D261="",$E261=""),"",_xlfn.NETWORKDAYS.INTL($D261,$E261,Weekend))</f>
        <v/>
      </c>
      <c r="G261" s="4" t="n"/>
      <c r="H261" s="4" t="n"/>
      <c r="I261" s="8">
        <f>IF(OR($A261="",$H261='الإعدادات'!$Q$10),"",IF(COUNTIFS($B$3:$B$302,$B261,$D$3:$D$302,"&lt;="&amp;$E261,$E$3:$E$302,"&gt;="&amp;$D261,$H$3:$H$302,"&lt;&gt;"&amp;'الإعدادات'!$Q$10)&gt;1,"يتداخل مع زميل في الفرع",""))</f>
        <v/>
      </c>
    </row>
    <row r="262">
      <c r="A262" s="4" t="n"/>
      <c r="B262" s="8">
        <f>IF($A262="","",IFERROR(INDEX(StaffBranch,MATCH($A262,Staff,0)),""))</f>
        <v/>
      </c>
      <c r="C262" s="4" t="n"/>
      <c r="D262" s="12" t="n"/>
      <c r="E262" s="12" t="n"/>
      <c r="F262" s="28">
        <f>IF(OR($D262="",$E262=""),"",_xlfn.NETWORKDAYS.INTL($D262,$E262,Weekend))</f>
        <v/>
      </c>
      <c r="G262" s="4" t="n"/>
      <c r="H262" s="4" t="n"/>
      <c r="I262" s="8">
        <f>IF(OR($A262="",$H262='الإعدادات'!$Q$10),"",IF(COUNTIFS($B$3:$B$302,$B262,$D$3:$D$302,"&lt;="&amp;$E262,$E$3:$E$302,"&gt;="&amp;$D262,$H$3:$H$302,"&lt;&gt;"&amp;'الإعدادات'!$Q$10)&gt;1,"يتداخل مع زميل في الفرع",""))</f>
        <v/>
      </c>
    </row>
    <row r="263">
      <c r="A263" s="4" t="n"/>
      <c r="B263" s="8">
        <f>IF($A263="","",IFERROR(INDEX(StaffBranch,MATCH($A263,Staff,0)),""))</f>
        <v/>
      </c>
      <c r="C263" s="4" t="n"/>
      <c r="D263" s="12" t="n"/>
      <c r="E263" s="12" t="n"/>
      <c r="F263" s="28">
        <f>IF(OR($D263="",$E263=""),"",_xlfn.NETWORKDAYS.INTL($D263,$E263,Weekend))</f>
        <v/>
      </c>
      <c r="G263" s="4" t="n"/>
      <c r="H263" s="4" t="n"/>
      <c r="I263" s="8">
        <f>IF(OR($A263="",$H263='الإعدادات'!$Q$10),"",IF(COUNTIFS($B$3:$B$302,$B263,$D$3:$D$302,"&lt;="&amp;$E263,$E$3:$E$302,"&gt;="&amp;$D263,$H$3:$H$302,"&lt;&gt;"&amp;'الإعدادات'!$Q$10)&gt;1,"يتداخل مع زميل في الفرع",""))</f>
        <v/>
      </c>
    </row>
    <row r="264">
      <c r="A264" s="4" t="n"/>
      <c r="B264" s="8">
        <f>IF($A264="","",IFERROR(INDEX(StaffBranch,MATCH($A264,Staff,0)),""))</f>
        <v/>
      </c>
      <c r="C264" s="4" t="n"/>
      <c r="D264" s="12" t="n"/>
      <c r="E264" s="12" t="n"/>
      <c r="F264" s="28">
        <f>IF(OR($D264="",$E264=""),"",_xlfn.NETWORKDAYS.INTL($D264,$E264,Weekend))</f>
        <v/>
      </c>
      <c r="G264" s="4" t="n"/>
      <c r="H264" s="4" t="n"/>
      <c r="I264" s="8">
        <f>IF(OR($A264="",$H264='الإعدادات'!$Q$10),"",IF(COUNTIFS($B$3:$B$302,$B264,$D$3:$D$302,"&lt;="&amp;$E264,$E$3:$E$302,"&gt;="&amp;$D264,$H$3:$H$302,"&lt;&gt;"&amp;'الإعدادات'!$Q$10)&gt;1,"يتداخل مع زميل في الفرع",""))</f>
        <v/>
      </c>
    </row>
    <row r="265">
      <c r="A265" s="4" t="n"/>
      <c r="B265" s="8">
        <f>IF($A265="","",IFERROR(INDEX(StaffBranch,MATCH($A265,Staff,0)),""))</f>
        <v/>
      </c>
      <c r="C265" s="4" t="n"/>
      <c r="D265" s="12" t="n"/>
      <c r="E265" s="12" t="n"/>
      <c r="F265" s="28">
        <f>IF(OR($D265="",$E265=""),"",_xlfn.NETWORKDAYS.INTL($D265,$E265,Weekend))</f>
        <v/>
      </c>
      <c r="G265" s="4" t="n"/>
      <c r="H265" s="4" t="n"/>
      <c r="I265" s="8">
        <f>IF(OR($A265="",$H265='الإعدادات'!$Q$10),"",IF(COUNTIFS($B$3:$B$302,$B265,$D$3:$D$302,"&lt;="&amp;$E265,$E$3:$E$302,"&gt;="&amp;$D265,$H$3:$H$302,"&lt;&gt;"&amp;'الإعدادات'!$Q$10)&gt;1,"يتداخل مع زميل في الفرع",""))</f>
        <v/>
      </c>
    </row>
    <row r="266">
      <c r="A266" s="4" t="n"/>
      <c r="B266" s="8">
        <f>IF($A266="","",IFERROR(INDEX(StaffBranch,MATCH($A266,Staff,0)),""))</f>
        <v/>
      </c>
      <c r="C266" s="4" t="n"/>
      <c r="D266" s="12" t="n"/>
      <c r="E266" s="12" t="n"/>
      <c r="F266" s="28">
        <f>IF(OR($D266="",$E266=""),"",_xlfn.NETWORKDAYS.INTL($D266,$E266,Weekend))</f>
        <v/>
      </c>
      <c r="G266" s="4" t="n"/>
      <c r="H266" s="4" t="n"/>
      <c r="I266" s="8">
        <f>IF(OR($A266="",$H266='الإعدادات'!$Q$10),"",IF(COUNTIFS($B$3:$B$302,$B266,$D$3:$D$302,"&lt;="&amp;$E266,$E$3:$E$302,"&gt;="&amp;$D266,$H$3:$H$302,"&lt;&gt;"&amp;'الإعدادات'!$Q$10)&gt;1,"يتداخل مع زميل في الفرع",""))</f>
        <v/>
      </c>
    </row>
    <row r="267">
      <c r="A267" s="4" t="n"/>
      <c r="B267" s="8">
        <f>IF($A267="","",IFERROR(INDEX(StaffBranch,MATCH($A267,Staff,0)),""))</f>
        <v/>
      </c>
      <c r="C267" s="4" t="n"/>
      <c r="D267" s="12" t="n"/>
      <c r="E267" s="12" t="n"/>
      <c r="F267" s="28">
        <f>IF(OR($D267="",$E267=""),"",_xlfn.NETWORKDAYS.INTL($D267,$E267,Weekend))</f>
        <v/>
      </c>
      <c r="G267" s="4" t="n"/>
      <c r="H267" s="4" t="n"/>
      <c r="I267" s="8">
        <f>IF(OR($A267="",$H267='الإعدادات'!$Q$10),"",IF(COUNTIFS($B$3:$B$302,$B267,$D$3:$D$302,"&lt;="&amp;$E267,$E$3:$E$302,"&gt;="&amp;$D267,$H$3:$H$302,"&lt;&gt;"&amp;'الإعدادات'!$Q$10)&gt;1,"يتداخل مع زميل في الفرع",""))</f>
        <v/>
      </c>
    </row>
    <row r="268">
      <c r="A268" s="4" t="n"/>
      <c r="B268" s="8">
        <f>IF($A268="","",IFERROR(INDEX(StaffBranch,MATCH($A268,Staff,0)),""))</f>
        <v/>
      </c>
      <c r="C268" s="4" t="n"/>
      <c r="D268" s="12" t="n"/>
      <c r="E268" s="12" t="n"/>
      <c r="F268" s="28">
        <f>IF(OR($D268="",$E268=""),"",_xlfn.NETWORKDAYS.INTL($D268,$E268,Weekend))</f>
        <v/>
      </c>
      <c r="G268" s="4" t="n"/>
      <c r="H268" s="4" t="n"/>
      <c r="I268" s="8">
        <f>IF(OR($A268="",$H268='الإعدادات'!$Q$10),"",IF(COUNTIFS($B$3:$B$302,$B268,$D$3:$D$302,"&lt;="&amp;$E268,$E$3:$E$302,"&gt;="&amp;$D268,$H$3:$H$302,"&lt;&gt;"&amp;'الإعدادات'!$Q$10)&gt;1,"يتداخل مع زميل في الفرع",""))</f>
        <v/>
      </c>
    </row>
    <row r="269">
      <c r="A269" s="4" t="n"/>
      <c r="B269" s="8">
        <f>IF($A269="","",IFERROR(INDEX(StaffBranch,MATCH($A269,Staff,0)),""))</f>
        <v/>
      </c>
      <c r="C269" s="4" t="n"/>
      <c r="D269" s="12" t="n"/>
      <c r="E269" s="12" t="n"/>
      <c r="F269" s="28">
        <f>IF(OR($D269="",$E269=""),"",_xlfn.NETWORKDAYS.INTL($D269,$E269,Weekend))</f>
        <v/>
      </c>
      <c r="G269" s="4" t="n"/>
      <c r="H269" s="4" t="n"/>
      <c r="I269" s="8">
        <f>IF(OR($A269="",$H269='الإعدادات'!$Q$10),"",IF(COUNTIFS($B$3:$B$302,$B269,$D$3:$D$302,"&lt;="&amp;$E269,$E$3:$E$302,"&gt;="&amp;$D269,$H$3:$H$302,"&lt;&gt;"&amp;'الإعدادات'!$Q$10)&gt;1,"يتداخل مع زميل في الفرع",""))</f>
        <v/>
      </c>
    </row>
    <row r="270">
      <c r="A270" s="4" t="n"/>
      <c r="B270" s="8">
        <f>IF($A270="","",IFERROR(INDEX(StaffBranch,MATCH($A270,Staff,0)),""))</f>
        <v/>
      </c>
      <c r="C270" s="4" t="n"/>
      <c r="D270" s="12" t="n"/>
      <c r="E270" s="12" t="n"/>
      <c r="F270" s="28">
        <f>IF(OR($D270="",$E270=""),"",_xlfn.NETWORKDAYS.INTL($D270,$E270,Weekend))</f>
        <v/>
      </c>
      <c r="G270" s="4" t="n"/>
      <c r="H270" s="4" t="n"/>
      <c r="I270" s="8">
        <f>IF(OR($A270="",$H270='الإعدادات'!$Q$10),"",IF(COUNTIFS($B$3:$B$302,$B270,$D$3:$D$302,"&lt;="&amp;$E270,$E$3:$E$302,"&gt;="&amp;$D270,$H$3:$H$302,"&lt;&gt;"&amp;'الإعدادات'!$Q$10)&gt;1,"يتداخل مع زميل في الفرع",""))</f>
        <v/>
      </c>
    </row>
    <row r="271">
      <c r="A271" s="4" t="n"/>
      <c r="B271" s="8">
        <f>IF($A271="","",IFERROR(INDEX(StaffBranch,MATCH($A271,Staff,0)),""))</f>
        <v/>
      </c>
      <c r="C271" s="4" t="n"/>
      <c r="D271" s="12" t="n"/>
      <c r="E271" s="12" t="n"/>
      <c r="F271" s="28">
        <f>IF(OR($D271="",$E271=""),"",_xlfn.NETWORKDAYS.INTL($D271,$E271,Weekend))</f>
        <v/>
      </c>
      <c r="G271" s="4" t="n"/>
      <c r="H271" s="4" t="n"/>
      <c r="I271" s="8">
        <f>IF(OR($A271="",$H271='الإعدادات'!$Q$10),"",IF(COUNTIFS($B$3:$B$302,$B271,$D$3:$D$302,"&lt;="&amp;$E271,$E$3:$E$302,"&gt;="&amp;$D271,$H$3:$H$302,"&lt;&gt;"&amp;'الإعدادات'!$Q$10)&gt;1,"يتداخل مع زميل في الفرع",""))</f>
        <v/>
      </c>
    </row>
    <row r="272">
      <c r="A272" s="4" t="n"/>
      <c r="B272" s="8">
        <f>IF($A272="","",IFERROR(INDEX(StaffBranch,MATCH($A272,Staff,0)),""))</f>
        <v/>
      </c>
      <c r="C272" s="4" t="n"/>
      <c r="D272" s="12" t="n"/>
      <c r="E272" s="12" t="n"/>
      <c r="F272" s="28">
        <f>IF(OR($D272="",$E272=""),"",_xlfn.NETWORKDAYS.INTL($D272,$E272,Weekend))</f>
        <v/>
      </c>
      <c r="G272" s="4" t="n"/>
      <c r="H272" s="4" t="n"/>
      <c r="I272" s="8">
        <f>IF(OR($A272="",$H272='الإعدادات'!$Q$10),"",IF(COUNTIFS($B$3:$B$302,$B272,$D$3:$D$302,"&lt;="&amp;$E272,$E$3:$E$302,"&gt;="&amp;$D272,$H$3:$H$302,"&lt;&gt;"&amp;'الإعدادات'!$Q$10)&gt;1,"يتداخل مع زميل في الفرع",""))</f>
        <v/>
      </c>
    </row>
    <row r="273">
      <c r="A273" s="4" t="n"/>
      <c r="B273" s="8">
        <f>IF($A273="","",IFERROR(INDEX(StaffBranch,MATCH($A273,Staff,0)),""))</f>
        <v/>
      </c>
      <c r="C273" s="4" t="n"/>
      <c r="D273" s="12" t="n"/>
      <c r="E273" s="12" t="n"/>
      <c r="F273" s="28">
        <f>IF(OR($D273="",$E273=""),"",_xlfn.NETWORKDAYS.INTL($D273,$E273,Weekend))</f>
        <v/>
      </c>
      <c r="G273" s="4" t="n"/>
      <c r="H273" s="4" t="n"/>
      <c r="I273" s="8">
        <f>IF(OR($A273="",$H273='الإعدادات'!$Q$10),"",IF(COUNTIFS($B$3:$B$302,$B273,$D$3:$D$302,"&lt;="&amp;$E273,$E$3:$E$302,"&gt;="&amp;$D273,$H$3:$H$302,"&lt;&gt;"&amp;'الإعدادات'!$Q$10)&gt;1,"يتداخل مع زميل في الفرع",""))</f>
        <v/>
      </c>
    </row>
    <row r="274">
      <c r="A274" s="4" t="n"/>
      <c r="B274" s="8">
        <f>IF($A274="","",IFERROR(INDEX(StaffBranch,MATCH($A274,Staff,0)),""))</f>
        <v/>
      </c>
      <c r="C274" s="4" t="n"/>
      <c r="D274" s="12" t="n"/>
      <c r="E274" s="12" t="n"/>
      <c r="F274" s="28">
        <f>IF(OR($D274="",$E274=""),"",_xlfn.NETWORKDAYS.INTL($D274,$E274,Weekend))</f>
        <v/>
      </c>
      <c r="G274" s="4" t="n"/>
      <c r="H274" s="4" t="n"/>
      <c r="I274" s="8">
        <f>IF(OR($A274="",$H274='الإعدادات'!$Q$10),"",IF(COUNTIFS($B$3:$B$302,$B274,$D$3:$D$302,"&lt;="&amp;$E274,$E$3:$E$302,"&gt;="&amp;$D274,$H$3:$H$302,"&lt;&gt;"&amp;'الإعدادات'!$Q$10)&gt;1,"يتداخل مع زميل في الفرع",""))</f>
        <v/>
      </c>
    </row>
    <row r="275">
      <c r="A275" s="4" t="n"/>
      <c r="B275" s="8">
        <f>IF($A275="","",IFERROR(INDEX(StaffBranch,MATCH($A275,Staff,0)),""))</f>
        <v/>
      </c>
      <c r="C275" s="4" t="n"/>
      <c r="D275" s="12" t="n"/>
      <c r="E275" s="12" t="n"/>
      <c r="F275" s="28">
        <f>IF(OR($D275="",$E275=""),"",_xlfn.NETWORKDAYS.INTL($D275,$E275,Weekend))</f>
        <v/>
      </c>
      <c r="G275" s="4" t="n"/>
      <c r="H275" s="4" t="n"/>
      <c r="I275" s="8">
        <f>IF(OR($A275="",$H275='الإعدادات'!$Q$10),"",IF(COUNTIFS($B$3:$B$302,$B275,$D$3:$D$302,"&lt;="&amp;$E275,$E$3:$E$302,"&gt;="&amp;$D275,$H$3:$H$302,"&lt;&gt;"&amp;'الإعدادات'!$Q$10)&gt;1,"يتداخل مع زميل في الفرع",""))</f>
        <v/>
      </c>
    </row>
    <row r="276">
      <c r="A276" s="4" t="n"/>
      <c r="B276" s="8">
        <f>IF($A276="","",IFERROR(INDEX(StaffBranch,MATCH($A276,Staff,0)),""))</f>
        <v/>
      </c>
      <c r="C276" s="4" t="n"/>
      <c r="D276" s="12" t="n"/>
      <c r="E276" s="12" t="n"/>
      <c r="F276" s="28">
        <f>IF(OR($D276="",$E276=""),"",_xlfn.NETWORKDAYS.INTL($D276,$E276,Weekend))</f>
        <v/>
      </c>
      <c r="G276" s="4" t="n"/>
      <c r="H276" s="4" t="n"/>
      <c r="I276" s="8">
        <f>IF(OR($A276="",$H276='الإعدادات'!$Q$10),"",IF(COUNTIFS($B$3:$B$302,$B276,$D$3:$D$302,"&lt;="&amp;$E276,$E$3:$E$302,"&gt;="&amp;$D276,$H$3:$H$302,"&lt;&gt;"&amp;'الإعدادات'!$Q$10)&gt;1,"يتداخل مع زميل في الفرع",""))</f>
        <v/>
      </c>
    </row>
    <row r="277">
      <c r="A277" s="4" t="n"/>
      <c r="B277" s="8">
        <f>IF($A277="","",IFERROR(INDEX(StaffBranch,MATCH($A277,Staff,0)),""))</f>
        <v/>
      </c>
      <c r="C277" s="4" t="n"/>
      <c r="D277" s="12" t="n"/>
      <c r="E277" s="12" t="n"/>
      <c r="F277" s="28">
        <f>IF(OR($D277="",$E277=""),"",_xlfn.NETWORKDAYS.INTL($D277,$E277,Weekend))</f>
        <v/>
      </c>
      <c r="G277" s="4" t="n"/>
      <c r="H277" s="4" t="n"/>
      <c r="I277" s="8">
        <f>IF(OR($A277="",$H277='الإعدادات'!$Q$10),"",IF(COUNTIFS($B$3:$B$302,$B277,$D$3:$D$302,"&lt;="&amp;$E277,$E$3:$E$302,"&gt;="&amp;$D277,$H$3:$H$302,"&lt;&gt;"&amp;'الإعدادات'!$Q$10)&gt;1,"يتداخل مع زميل في الفرع",""))</f>
        <v/>
      </c>
    </row>
    <row r="278">
      <c r="A278" s="4" t="n"/>
      <c r="B278" s="8">
        <f>IF($A278="","",IFERROR(INDEX(StaffBranch,MATCH($A278,Staff,0)),""))</f>
        <v/>
      </c>
      <c r="C278" s="4" t="n"/>
      <c r="D278" s="12" t="n"/>
      <c r="E278" s="12" t="n"/>
      <c r="F278" s="28">
        <f>IF(OR($D278="",$E278=""),"",_xlfn.NETWORKDAYS.INTL($D278,$E278,Weekend))</f>
        <v/>
      </c>
      <c r="G278" s="4" t="n"/>
      <c r="H278" s="4" t="n"/>
      <c r="I278" s="8">
        <f>IF(OR($A278="",$H278='الإعدادات'!$Q$10),"",IF(COUNTIFS($B$3:$B$302,$B278,$D$3:$D$302,"&lt;="&amp;$E278,$E$3:$E$302,"&gt;="&amp;$D278,$H$3:$H$302,"&lt;&gt;"&amp;'الإعدادات'!$Q$10)&gt;1,"يتداخل مع زميل في الفرع",""))</f>
        <v/>
      </c>
    </row>
    <row r="279">
      <c r="A279" s="4" t="n"/>
      <c r="B279" s="8">
        <f>IF($A279="","",IFERROR(INDEX(StaffBranch,MATCH($A279,Staff,0)),""))</f>
        <v/>
      </c>
      <c r="C279" s="4" t="n"/>
      <c r="D279" s="12" t="n"/>
      <c r="E279" s="12" t="n"/>
      <c r="F279" s="28">
        <f>IF(OR($D279="",$E279=""),"",_xlfn.NETWORKDAYS.INTL($D279,$E279,Weekend))</f>
        <v/>
      </c>
      <c r="G279" s="4" t="n"/>
      <c r="H279" s="4" t="n"/>
      <c r="I279" s="8">
        <f>IF(OR($A279="",$H279='الإعدادات'!$Q$10),"",IF(COUNTIFS($B$3:$B$302,$B279,$D$3:$D$302,"&lt;="&amp;$E279,$E$3:$E$302,"&gt;="&amp;$D279,$H$3:$H$302,"&lt;&gt;"&amp;'الإعدادات'!$Q$10)&gt;1,"يتداخل مع زميل في الفرع",""))</f>
        <v/>
      </c>
    </row>
    <row r="280">
      <c r="A280" s="4" t="n"/>
      <c r="B280" s="8">
        <f>IF($A280="","",IFERROR(INDEX(StaffBranch,MATCH($A280,Staff,0)),""))</f>
        <v/>
      </c>
      <c r="C280" s="4" t="n"/>
      <c r="D280" s="12" t="n"/>
      <c r="E280" s="12" t="n"/>
      <c r="F280" s="28">
        <f>IF(OR($D280="",$E280=""),"",_xlfn.NETWORKDAYS.INTL($D280,$E280,Weekend))</f>
        <v/>
      </c>
      <c r="G280" s="4" t="n"/>
      <c r="H280" s="4" t="n"/>
      <c r="I280" s="8">
        <f>IF(OR($A280="",$H280='الإعدادات'!$Q$10),"",IF(COUNTIFS($B$3:$B$302,$B280,$D$3:$D$302,"&lt;="&amp;$E280,$E$3:$E$302,"&gt;="&amp;$D280,$H$3:$H$302,"&lt;&gt;"&amp;'الإعدادات'!$Q$10)&gt;1,"يتداخل مع زميل في الفرع",""))</f>
        <v/>
      </c>
    </row>
    <row r="281">
      <c r="A281" s="4" t="n"/>
      <c r="B281" s="8">
        <f>IF($A281="","",IFERROR(INDEX(StaffBranch,MATCH($A281,Staff,0)),""))</f>
        <v/>
      </c>
      <c r="C281" s="4" t="n"/>
      <c r="D281" s="12" t="n"/>
      <c r="E281" s="12" t="n"/>
      <c r="F281" s="28">
        <f>IF(OR($D281="",$E281=""),"",_xlfn.NETWORKDAYS.INTL($D281,$E281,Weekend))</f>
        <v/>
      </c>
      <c r="G281" s="4" t="n"/>
      <c r="H281" s="4" t="n"/>
      <c r="I281" s="8">
        <f>IF(OR($A281="",$H281='الإعدادات'!$Q$10),"",IF(COUNTIFS($B$3:$B$302,$B281,$D$3:$D$302,"&lt;="&amp;$E281,$E$3:$E$302,"&gt;="&amp;$D281,$H$3:$H$302,"&lt;&gt;"&amp;'الإعدادات'!$Q$10)&gt;1,"يتداخل مع زميل في الفرع",""))</f>
        <v/>
      </c>
    </row>
    <row r="282">
      <c r="A282" s="4" t="n"/>
      <c r="B282" s="8">
        <f>IF($A282="","",IFERROR(INDEX(StaffBranch,MATCH($A282,Staff,0)),""))</f>
        <v/>
      </c>
      <c r="C282" s="4" t="n"/>
      <c r="D282" s="12" t="n"/>
      <c r="E282" s="12" t="n"/>
      <c r="F282" s="28">
        <f>IF(OR($D282="",$E282=""),"",_xlfn.NETWORKDAYS.INTL($D282,$E282,Weekend))</f>
        <v/>
      </c>
      <c r="G282" s="4" t="n"/>
      <c r="H282" s="4" t="n"/>
      <c r="I282" s="8">
        <f>IF(OR($A282="",$H282='الإعدادات'!$Q$10),"",IF(COUNTIFS($B$3:$B$302,$B282,$D$3:$D$302,"&lt;="&amp;$E282,$E$3:$E$302,"&gt;="&amp;$D282,$H$3:$H$302,"&lt;&gt;"&amp;'الإعدادات'!$Q$10)&gt;1,"يتداخل مع زميل في الفرع",""))</f>
        <v/>
      </c>
    </row>
    <row r="283">
      <c r="A283" s="4" t="n"/>
      <c r="B283" s="8">
        <f>IF($A283="","",IFERROR(INDEX(StaffBranch,MATCH($A283,Staff,0)),""))</f>
        <v/>
      </c>
      <c r="C283" s="4" t="n"/>
      <c r="D283" s="12" t="n"/>
      <c r="E283" s="12" t="n"/>
      <c r="F283" s="28">
        <f>IF(OR($D283="",$E283=""),"",_xlfn.NETWORKDAYS.INTL($D283,$E283,Weekend))</f>
        <v/>
      </c>
      <c r="G283" s="4" t="n"/>
      <c r="H283" s="4" t="n"/>
      <c r="I283" s="8">
        <f>IF(OR($A283="",$H283='الإعدادات'!$Q$10),"",IF(COUNTIFS($B$3:$B$302,$B283,$D$3:$D$302,"&lt;="&amp;$E283,$E$3:$E$302,"&gt;="&amp;$D283,$H$3:$H$302,"&lt;&gt;"&amp;'الإعدادات'!$Q$10)&gt;1,"يتداخل مع زميل في الفرع",""))</f>
        <v/>
      </c>
    </row>
    <row r="284">
      <c r="A284" s="4" t="n"/>
      <c r="B284" s="8">
        <f>IF($A284="","",IFERROR(INDEX(StaffBranch,MATCH($A284,Staff,0)),""))</f>
        <v/>
      </c>
      <c r="C284" s="4" t="n"/>
      <c r="D284" s="12" t="n"/>
      <c r="E284" s="12" t="n"/>
      <c r="F284" s="28">
        <f>IF(OR($D284="",$E284=""),"",_xlfn.NETWORKDAYS.INTL($D284,$E284,Weekend))</f>
        <v/>
      </c>
      <c r="G284" s="4" t="n"/>
      <c r="H284" s="4" t="n"/>
      <c r="I284" s="8">
        <f>IF(OR($A284="",$H284='الإعدادات'!$Q$10),"",IF(COUNTIFS($B$3:$B$302,$B284,$D$3:$D$302,"&lt;="&amp;$E284,$E$3:$E$302,"&gt;="&amp;$D284,$H$3:$H$302,"&lt;&gt;"&amp;'الإعدادات'!$Q$10)&gt;1,"يتداخل مع زميل في الفرع",""))</f>
        <v/>
      </c>
    </row>
    <row r="285">
      <c r="A285" s="4" t="n"/>
      <c r="B285" s="8">
        <f>IF($A285="","",IFERROR(INDEX(StaffBranch,MATCH($A285,Staff,0)),""))</f>
        <v/>
      </c>
      <c r="C285" s="4" t="n"/>
      <c r="D285" s="12" t="n"/>
      <c r="E285" s="12" t="n"/>
      <c r="F285" s="28">
        <f>IF(OR($D285="",$E285=""),"",_xlfn.NETWORKDAYS.INTL($D285,$E285,Weekend))</f>
        <v/>
      </c>
      <c r="G285" s="4" t="n"/>
      <c r="H285" s="4" t="n"/>
      <c r="I285" s="8">
        <f>IF(OR($A285="",$H285='الإعدادات'!$Q$10),"",IF(COUNTIFS($B$3:$B$302,$B285,$D$3:$D$302,"&lt;="&amp;$E285,$E$3:$E$302,"&gt;="&amp;$D285,$H$3:$H$302,"&lt;&gt;"&amp;'الإعدادات'!$Q$10)&gt;1,"يتداخل مع زميل في الفرع",""))</f>
        <v/>
      </c>
    </row>
    <row r="286">
      <c r="A286" s="4" t="n"/>
      <c r="B286" s="8">
        <f>IF($A286="","",IFERROR(INDEX(StaffBranch,MATCH($A286,Staff,0)),""))</f>
        <v/>
      </c>
      <c r="C286" s="4" t="n"/>
      <c r="D286" s="12" t="n"/>
      <c r="E286" s="12" t="n"/>
      <c r="F286" s="28">
        <f>IF(OR($D286="",$E286=""),"",_xlfn.NETWORKDAYS.INTL($D286,$E286,Weekend))</f>
        <v/>
      </c>
      <c r="G286" s="4" t="n"/>
      <c r="H286" s="4" t="n"/>
      <c r="I286" s="8">
        <f>IF(OR($A286="",$H286='الإعدادات'!$Q$10),"",IF(COUNTIFS($B$3:$B$302,$B286,$D$3:$D$302,"&lt;="&amp;$E286,$E$3:$E$302,"&gt;="&amp;$D286,$H$3:$H$302,"&lt;&gt;"&amp;'الإعدادات'!$Q$10)&gt;1,"يتداخل مع زميل في الفرع",""))</f>
        <v/>
      </c>
    </row>
    <row r="287">
      <c r="A287" s="4" t="n"/>
      <c r="B287" s="8">
        <f>IF($A287="","",IFERROR(INDEX(StaffBranch,MATCH($A287,Staff,0)),""))</f>
        <v/>
      </c>
      <c r="C287" s="4" t="n"/>
      <c r="D287" s="12" t="n"/>
      <c r="E287" s="12" t="n"/>
      <c r="F287" s="28">
        <f>IF(OR($D287="",$E287=""),"",_xlfn.NETWORKDAYS.INTL($D287,$E287,Weekend))</f>
        <v/>
      </c>
      <c r="G287" s="4" t="n"/>
      <c r="H287" s="4" t="n"/>
      <c r="I287" s="8">
        <f>IF(OR($A287="",$H287='الإعدادات'!$Q$10),"",IF(COUNTIFS($B$3:$B$302,$B287,$D$3:$D$302,"&lt;="&amp;$E287,$E$3:$E$302,"&gt;="&amp;$D287,$H$3:$H$302,"&lt;&gt;"&amp;'الإعدادات'!$Q$10)&gt;1,"يتداخل مع زميل في الفرع",""))</f>
        <v/>
      </c>
    </row>
    <row r="288">
      <c r="A288" s="4" t="n"/>
      <c r="B288" s="8">
        <f>IF($A288="","",IFERROR(INDEX(StaffBranch,MATCH($A288,Staff,0)),""))</f>
        <v/>
      </c>
      <c r="C288" s="4" t="n"/>
      <c r="D288" s="12" t="n"/>
      <c r="E288" s="12" t="n"/>
      <c r="F288" s="28">
        <f>IF(OR($D288="",$E288=""),"",_xlfn.NETWORKDAYS.INTL($D288,$E288,Weekend))</f>
        <v/>
      </c>
      <c r="G288" s="4" t="n"/>
      <c r="H288" s="4" t="n"/>
      <c r="I288" s="8">
        <f>IF(OR($A288="",$H288='الإعدادات'!$Q$10),"",IF(COUNTIFS($B$3:$B$302,$B288,$D$3:$D$302,"&lt;="&amp;$E288,$E$3:$E$302,"&gt;="&amp;$D288,$H$3:$H$302,"&lt;&gt;"&amp;'الإعدادات'!$Q$10)&gt;1,"يتداخل مع زميل في الفرع",""))</f>
        <v/>
      </c>
    </row>
    <row r="289">
      <c r="A289" s="4" t="n"/>
      <c r="B289" s="8">
        <f>IF($A289="","",IFERROR(INDEX(StaffBranch,MATCH($A289,Staff,0)),""))</f>
        <v/>
      </c>
      <c r="C289" s="4" t="n"/>
      <c r="D289" s="12" t="n"/>
      <c r="E289" s="12" t="n"/>
      <c r="F289" s="28">
        <f>IF(OR($D289="",$E289=""),"",_xlfn.NETWORKDAYS.INTL($D289,$E289,Weekend))</f>
        <v/>
      </c>
      <c r="G289" s="4" t="n"/>
      <c r="H289" s="4" t="n"/>
      <c r="I289" s="8">
        <f>IF(OR($A289="",$H289='الإعدادات'!$Q$10),"",IF(COUNTIFS($B$3:$B$302,$B289,$D$3:$D$302,"&lt;="&amp;$E289,$E$3:$E$302,"&gt;="&amp;$D289,$H$3:$H$302,"&lt;&gt;"&amp;'الإعدادات'!$Q$10)&gt;1,"يتداخل مع زميل في الفرع",""))</f>
        <v/>
      </c>
    </row>
    <row r="290">
      <c r="A290" s="4" t="n"/>
      <c r="B290" s="8">
        <f>IF($A290="","",IFERROR(INDEX(StaffBranch,MATCH($A290,Staff,0)),""))</f>
        <v/>
      </c>
      <c r="C290" s="4" t="n"/>
      <c r="D290" s="12" t="n"/>
      <c r="E290" s="12" t="n"/>
      <c r="F290" s="28">
        <f>IF(OR($D290="",$E290=""),"",_xlfn.NETWORKDAYS.INTL($D290,$E290,Weekend))</f>
        <v/>
      </c>
      <c r="G290" s="4" t="n"/>
      <c r="H290" s="4" t="n"/>
      <c r="I290" s="8">
        <f>IF(OR($A290="",$H290='الإعدادات'!$Q$10),"",IF(COUNTIFS($B$3:$B$302,$B290,$D$3:$D$302,"&lt;="&amp;$E290,$E$3:$E$302,"&gt;="&amp;$D290,$H$3:$H$302,"&lt;&gt;"&amp;'الإعدادات'!$Q$10)&gt;1,"يتداخل مع زميل في الفرع",""))</f>
        <v/>
      </c>
    </row>
    <row r="291">
      <c r="A291" s="4" t="n"/>
      <c r="B291" s="8">
        <f>IF($A291="","",IFERROR(INDEX(StaffBranch,MATCH($A291,Staff,0)),""))</f>
        <v/>
      </c>
      <c r="C291" s="4" t="n"/>
      <c r="D291" s="12" t="n"/>
      <c r="E291" s="12" t="n"/>
      <c r="F291" s="28">
        <f>IF(OR($D291="",$E291=""),"",_xlfn.NETWORKDAYS.INTL($D291,$E291,Weekend))</f>
        <v/>
      </c>
      <c r="G291" s="4" t="n"/>
      <c r="H291" s="4" t="n"/>
      <c r="I291" s="8">
        <f>IF(OR($A291="",$H291='الإعدادات'!$Q$10),"",IF(COUNTIFS($B$3:$B$302,$B291,$D$3:$D$302,"&lt;="&amp;$E291,$E$3:$E$302,"&gt;="&amp;$D291,$H$3:$H$302,"&lt;&gt;"&amp;'الإعدادات'!$Q$10)&gt;1,"يتداخل مع زميل في الفرع",""))</f>
        <v/>
      </c>
    </row>
    <row r="292">
      <c r="A292" s="4" t="n"/>
      <c r="B292" s="8">
        <f>IF($A292="","",IFERROR(INDEX(StaffBranch,MATCH($A292,Staff,0)),""))</f>
        <v/>
      </c>
      <c r="C292" s="4" t="n"/>
      <c r="D292" s="12" t="n"/>
      <c r="E292" s="12" t="n"/>
      <c r="F292" s="28">
        <f>IF(OR($D292="",$E292=""),"",_xlfn.NETWORKDAYS.INTL($D292,$E292,Weekend))</f>
        <v/>
      </c>
      <c r="G292" s="4" t="n"/>
      <c r="H292" s="4" t="n"/>
      <c r="I292" s="8">
        <f>IF(OR($A292="",$H292='الإعدادات'!$Q$10),"",IF(COUNTIFS($B$3:$B$302,$B292,$D$3:$D$302,"&lt;="&amp;$E292,$E$3:$E$302,"&gt;="&amp;$D292,$H$3:$H$302,"&lt;&gt;"&amp;'الإعدادات'!$Q$10)&gt;1,"يتداخل مع زميل في الفرع",""))</f>
        <v/>
      </c>
    </row>
    <row r="293">
      <c r="A293" s="4" t="n"/>
      <c r="B293" s="8">
        <f>IF($A293="","",IFERROR(INDEX(StaffBranch,MATCH($A293,Staff,0)),""))</f>
        <v/>
      </c>
      <c r="C293" s="4" t="n"/>
      <c r="D293" s="12" t="n"/>
      <c r="E293" s="12" t="n"/>
      <c r="F293" s="28">
        <f>IF(OR($D293="",$E293=""),"",_xlfn.NETWORKDAYS.INTL($D293,$E293,Weekend))</f>
        <v/>
      </c>
      <c r="G293" s="4" t="n"/>
      <c r="H293" s="4" t="n"/>
      <c r="I293" s="8">
        <f>IF(OR($A293="",$H293='الإعدادات'!$Q$10),"",IF(COUNTIFS($B$3:$B$302,$B293,$D$3:$D$302,"&lt;="&amp;$E293,$E$3:$E$302,"&gt;="&amp;$D293,$H$3:$H$302,"&lt;&gt;"&amp;'الإعدادات'!$Q$10)&gt;1,"يتداخل مع زميل في الفرع",""))</f>
        <v/>
      </c>
    </row>
    <row r="294">
      <c r="A294" s="4" t="n"/>
      <c r="B294" s="8">
        <f>IF($A294="","",IFERROR(INDEX(StaffBranch,MATCH($A294,Staff,0)),""))</f>
        <v/>
      </c>
      <c r="C294" s="4" t="n"/>
      <c r="D294" s="12" t="n"/>
      <c r="E294" s="12" t="n"/>
      <c r="F294" s="28">
        <f>IF(OR($D294="",$E294=""),"",_xlfn.NETWORKDAYS.INTL($D294,$E294,Weekend))</f>
        <v/>
      </c>
      <c r="G294" s="4" t="n"/>
      <c r="H294" s="4" t="n"/>
      <c r="I294" s="8">
        <f>IF(OR($A294="",$H294='الإعدادات'!$Q$10),"",IF(COUNTIFS($B$3:$B$302,$B294,$D$3:$D$302,"&lt;="&amp;$E294,$E$3:$E$302,"&gt;="&amp;$D294,$H$3:$H$302,"&lt;&gt;"&amp;'الإعدادات'!$Q$10)&gt;1,"يتداخل مع زميل في الفرع",""))</f>
        <v/>
      </c>
    </row>
    <row r="295">
      <c r="A295" s="4" t="n"/>
      <c r="B295" s="8">
        <f>IF($A295="","",IFERROR(INDEX(StaffBranch,MATCH($A295,Staff,0)),""))</f>
        <v/>
      </c>
      <c r="C295" s="4" t="n"/>
      <c r="D295" s="12" t="n"/>
      <c r="E295" s="12" t="n"/>
      <c r="F295" s="28">
        <f>IF(OR($D295="",$E295=""),"",_xlfn.NETWORKDAYS.INTL($D295,$E295,Weekend))</f>
        <v/>
      </c>
      <c r="G295" s="4" t="n"/>
      <c r="H295" s="4" t="n"/>
      <c r="I295" s="8">
        <f>IF(OR($A295="",$H295='الإعدادات'!$Q$10),"",IF(COUNTIFS($B$3:$B$302,$B295,$D$3:$D$302,"&lt;="&amp;$E295,$E$3:$E$302,"&gt;="&amp;$D295,$H$3:$H$302,"&lt;&gt;"&amp;'الإعدادات'!$Q$10)&gt;1,"يتداخل مع زميل في الفرع",""))</f>
        <v/>
      </c>
    </row>
    <row r="296">
      <c r="A296" s="4" t="n"/>
      <c r="B296" s="8">
        <f>IF($A296="","",IFERROR(INDEX(StaffBranch,MATCH($A296,Staff,0)),""))</f>
        <v/>
      </c>
      <c r="C296" s="4" t="n"/>
      <c r="D296" s="12" t="n"/>
      <c r="E296" s="12" t="n"/>
      <c r="F296" s="28">
        <f>IF(OR($D296="",$E296=""),"",_xlfn.NETWORKDAYS.INTL($D296,$E296,Weekend))</f>
        <v/>
      </c>
      <c r="G296" s="4" t="n"/>
      <c r="H296" s="4" t="n"/>
      <c r="I296" s="8">
        <f>IF(OR($A296="",$H296='الإعدادات'!$Q$10),"",IF(COUNTIFS($B$3:$B$302,$B296,$D$3:$D$302,"&lt;="&amp;$E296,$E$3:$E$302,"&gt;="&amp;$D296,$H$3:$H$302,"&lt;&gt;"&amp;'الإعدادات'!$Q$10)&gt;1,"يتداخل مع زميل في الفرع",""))</f>
        <v/>
      </c>
    </row>
    <row r="297">
      <c r="A297" s="4" t="n"/>
      <c r="B297" s="8">
        <f>IF($A297="","",IFERROR(INDEX(StaffBranch,MATCH($A297,Staff,0)),""))</f>
        <v/>
      </c>
      <c r="C297" s="4" t="n"/>
      <c r="D297" s="12" t="n"/>
      <c r="E297" s="12" t="n"/>
      <c r="F297" s="28">
        <f>IF(OR($D297="",$E297=""),"",_xlfn.NETWORKDAYS.INTL($D297,$E297,Weekend))</f>
        <v/>
      </c>
      <c r="G297" s="4" t="n"/>
      <c r="H297" s="4" t="n"/>
      <c r="I297" s="8">
        <f>IF(OR($A297="",$H297='الإعدادات'!$Q$10),"",IF(COUNTIFS($B$3:$B$302,$B297,$D$3:$D$302,"&lt;="&amp;$E297,$E$3:$E$302,"&gt;="&amp;$D297,$H$3:$H$302,"&lt;&gt;"&amp;'الإعدادات'!$Q$10)&gt;1,"يتداخل مع زميل في الفرع",""))</f>
        <v/>
      </c>
    </row>
    <row r="298">
      <c r="A298" s="4" t="n"/>
      <c r="B298" s="8">
        <f>IF($A298="","",IFERROR(INDEX(StaffBranch,MATCH($A298,Staff,0)),""))</f>
        <v/>
      </c>
      <c r="C298" s="4" t="n"/>
      <c r="D298" s="12" t="n"/>
      <c r="E298" s="12" t="n"/>
      <c r="F298" s="28">
        <f>IF(OR($D298="",$E298=""),"",_xlfn.NETWORKDAYS.INTL($D298,$E298,Weekend))</f>
        <v/>
      </c>
      <c r="G298" s="4" t="n"/>
      <c r="H298" s="4" t="n"/>
      <c r="I298" s="8">
        <f>IF(OR($A298="",$H298='الإعدادات'!$Q$10),"",IF(COUNTIFS($B$3:$B$302,$B298,$D$3:$D$302,"&lt;="&amp;$E298,$E$3:$E$302,"&gt;="&amp;$D298,$H$3:$H$302,"&lt;&gt;"&amp;'الإعدادات'!$Q$10)&gt;1,"يتداخل مع زميل في الفرع",""))</f>
        <v/>
      </c>
    </row>
    <row r="299">
      <c r="A299" s="4" t="n"/>
      <c r="B299" s="8">
        <f>IF($A299="","",IFERROR(INDEX(StaffBranch,MATCH($A299,Staff,0)),""))</f>
        <v/>
      </c>
      <c r="C299" s="4" t="n"/>
      <c r="D299" s="12" t="n"/>
      <c r="E299" s="12" t="n"/>
      <c r="F299" s="28">
        <f>IF(OR($D299="",$E299=""),"",_xlfn.NETWORKDAYS.INTL($D299,$E299,Weekend))</f>
        <v/>
      </c>
      <c r="G299" s="4" t="n"/>
      <c r="H299" s="4" t="n"/>
      <c r="I299" s="8">
        <f>IF(OR($A299="",$H299='الإعدادات'!$Q$10),"",IF(COUNTIFS($B$3:$B$302,$B299,$D$3:$D$302,"&lt;="&amp;$E299,$E$3:$E$302,"&gt;="&amp;$D299,$H$3:$H$302,"&lt;&gt;"&amp;'الإعدادات'!$Q$10)&gt;1,"يتداخل مع زميل في الفرع",""))</f>
        <v/>
      </c>
    </row>
    <row r="300">
      <c r="A300" s="4" t="n"/>
      <c r="B300" s="8">
        <f>IF($A300="","",IFERROR(INDEX(StaffBranch,MATCH($A300,Staff,0)),""))</f>
        <v/>
      </c>
      <c r="C300" s="4" t="n"/>
      <c r="D300" s="12" t="n"/>
      <c r="E300" s="12" t="n"/>
      <c r="F300" s="28">
        <f>IF(OR($D300="",$E300=""),"",_xlfn.NETWORKDAYS.INTL($D300,$E300,Weekend))</f>
        <v/>
      </c>
      <c r="G300" s="4" t="n"/>
      <c r="H300" s="4" t="n"/>
      <c r="I300" s="8">
        <f>IF(OR($A300="",$H300='الإعدادات'!$Q$10),"",IF(COUNTIFS($B$3:$B$302,$B300,$D$3:$D$302,"&lt;="&amp;$E300,$E$3:$E$302,"&gt;="&amp;$D300,$H$3:$H$302,"&lt;&gt;"&amp;'الإعدادات'!$Q$10)&gt;1,"يتداخل مع زميل في الفرع",""))</f>
        <v/>
      </c>
    </row>
    <row r="301">
      <c r="A301" s="4" t="n"/>
      <c r="B301" s="8">
        <f>IF($A301="","",IFERROR(INDEX(StaffBranch,MATCH($A301,Staff,0)),""))</f>
        <v/>
      </c>
      <c r="C301" s="4" t="n"/>
      <c r="D301" s="12" t="n"/>
      <c r="E301" s="12" t="n"/>
      <c r="F301" s="28">
        <f>IF(OR($D301="",$E301=""),"",_xlfn.NETWORKDAYS.INTL($D301,$E301,Weekend))</f>
        <v/>
      </c>
      <c r="G301" s="4" t="n"/>
      <c r="H301" s="4" t="n"/>
      <c r="I301" s="8">
        <f>IF(OR($A301="",$H301='الإعدادات'!$Q$10),"",IF(COUNTIFS($B$3:$B$302,$B301,$D$3:$D$302,"&lt;="&amp;$E301,$E$3:$E$302,"&gt;="&amp;$D301,$H$3:$H$302,"&lt;&gt;"&amp;'الإعدادات'!$Q$10)&gt;1,"يتداخل مع زميل في الفرع",""))</f>
        <v/>
      </c>
    </row>
    <row r="302">
      <c r="A302" s="4" t="n"/>
      <c r="B302" s="8">
        <f>IF($A302="","",IFERROR(INDEX(StaffBranch,MATCH($A302,Staff,0)),""))</f>
        <v/>
      </c>
      <c r="C302" s="4" t="n"/>
      <c r="D302" s="12" t="n"/>
      <c r="E302" s="12" t="n"/>
      <c r="F302" s="28">
        <f>IF(OR($D302="",$E302=""),"",_xlfn.NETWORKDAYS.INTL($D302,$E302,Weekend))</f>
        <v/>
      </c>
      <c r="G302" s="4" t="n"/>
      <c r="H302" s="4" t="n"/>
      <c r="I302" s="8">
        <f>IF(OR($A302="",$H302='الإعدادات'!$Q$10),"",IF(COUNTIFS($B$3:$B$302,$B302,$D$3:$D$302,"&lt;="&amp;$E302,$E$3:$E$302,"&gt;="&amp;$D302,$H$3:$H$302,"&lt;&gt;"&amp;'الإعدادات'!$Q$10)&gt;1,"يتداخل مع زميل في الفرع",""))</f>
        <v/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1" formatRows="0" sort="0"/>
  <mergeCells count="1">
    <mergeCell ref="A1:I1"/>
  </mergeCells>
  <conditionalFormatting sqref="I3:I302">
    <cfRule type="expression" priority="1" dxfId="6">
      <formula>I3&lt;&gt;""</formula>
    </cfRule>
  </conditionalFormatting>
  <dataValidations count="3">
    <dataValidation sqref="A3:A302" showDropDown="0" showInputMessage="0" showErrorMessage="0" allowBlank="1" errorTitle="قيمة غير صحيحة" error="اختر من القائمة." type="list">
      <formula1>=Staff</formula1>
    </dataValidation>
    <dataValidation sqref="C3:C302" showDropDown="0" showInputMessage="0" showErrorMessage="0" allowBlank="1" errorTitle="قيمة غير صحيحة" error="اختر من القائمة." type="list">
      <formula1>=LeaveTypes</formula1>
    </dataValidation>
    <dataValidation sqref="H3:H302" showDropDown="0" showInputMessage="0" showErrorMessage="0" allowBlank="1" errorTitle="قيمة غير صحيحة" error="اختر من القائمة." type="list">
      <formula1>=LeaveStatus</formula1>
    </dataValidation>
  </dataValidations>
  <pageMargins left="0.75" right="0.75" top="1" bottom="1" header="0.5" footer="0.5"/>
  <pageSetup paperSize="9" fitToHeight="0" fitToWidth="1"/>
</worksheet>
</file>

<file path=xl/worksheets/sheet5.xml><?xml version="1.0" encoding="utf-8"?>
<worksheet xmlns="http://schemas.openxmlformats.org/spreadsheetml/2006/main">
  <sheetPr>
    <tabColor rgb="002B6CB0"/>
    <outlinePr summaryBelow="1" summaryRight="1"/>
    <pageSetUpPr fitToPage="1"/>
  </sheetPr>
  <dimension ref="A1:AR43"/>
  <sheetViews>
    <sheetView showGridLines="0" rightToLeft="1" tabSelected="0" zoomScale="110" workbookViewId="0">
      <pane xSplit="2" ySplit="6" topLeftCell="C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0" customWidth="1" min="1" max="1"/>
    <col width="12" customWidth="1" min="2" max="2"/>
    <col width="4.6" customWidth="1" min="3" max="3"/>
    <col width="4.6" customWidth="1" min="4" max="4"/>
    <col width="4.6" customWidth="1" min="5" max="5"/>
    <col width="4.6" customWidth="1" min="6" max="6"/>
    <col width="4.6" customWidth="1" min="7" max="7"/>
    <col width="4.6" customWidth="1" min="8" max="8"/>
    <col width="4.6" customWidth="1" min="9" max="9"/>
    <col width="4.6" customWidth="1" min="10" max="10"/>
    <col width="4.6" customWidth="1" min="11" max="11"/>
    <col width="4.6" customWidth="1" min="12" max="12"/>
    <col width="4.6" customWidth="1" min="13" max="13"/>
    <col width="4.6" customWidth="1" min="14" max="14"/>
    <col width="4.6" customWidth="1" min="15" max="15"/>
    <col width="4.6" customWidth="1" min="16" max="16"/>
    <col width="4.6" customWidth="1" min="17" max="17"/>
    <col width="4.6" customWidth="1" min="18" max="18"/>
    <col width="4.6" customWidth="1" min="19" max="19"/>
    <col width="4.6" customWidth="1" min="20" max="20"/>
    <col width="4.6" customWidth="1" min="21" max="21"/>
    <col width="4.6" customWidth="1" min="22" max="22"/>
    <col width="4.6" customWidth="1" min="23" max="23"/>
    <col width="4.6" customWidth="1" min="24" max="24"/>
    <col width="4.6" customWidth="1" min="25" max="25"/>
    <col width="4.6" customWidth="1" min="26" max="26"/>
    <col width="4.6" customWidth="1" min="27" max="27"/>
    <col width="4.6" customWidth="1" min="28" max="28"/>
    <col width="4.6" customWidth="1" min="29" max="29"/>
    <col width="4.6" customWidth="1" min="30" max="30"/>
    <col width="4.6" customWidth="1" min="31" max="31"/>
    <col width="4.6" customWidth="1" min="32" max="32"/>
    <col width="4.6" customWidth="1" min="33" max="33"/>
    <col width="2" customWidth="1" min="34" max="34"/>
    <col width="9" customWidth="1" min="35" max="35"/>
    <col width="9" customWidth="1" min="36" max="36"/>
    <col width="9" customWidth="1" min="37" max="37"/>
    <col width="9" customWidth="1" min="38" max="38"/>
    <col width="9" customWidth="1" min="39" max="39"/>
    <col width="9" customWidth="1" min="40" max="40"/>
    <col width="9" customWidth="1" min="41" max="41"/>
    <col width="9" customWidth="1" min="42" max="42"/>
    <col width="9" customWidth="1" min="43" max="43"/>
    <col width="9" customWidth="1" min="44" max="44"/>
  </cols>
  <sheetData>
    <row r="1" ht="22" customHeight="1">
      <c r="A1" s="16" t="inlineStr">
        <is>
          <t>بيانات تجريبية، احذفها وابدأ. طريقة المسح في ورقة «كيف تستخدمه».</t>
        </is>
      </c>
    </row>
    <row r="2">
      <c r="A2" s="3" t="inlineStr">
        <is>
          <t>الشهر</t>
        </is>
      </c>
      <c r="B2" s="29">
        <f>'خطة الورديات'!C2</f>
        <v/>
      </c>
      <c r="C2" s="30" t="n"/>
      <c r="D2" s="30" t="n"/>
      <c r="E2" s="30" t="n"/>
      <c r="F2" s="11" t="n"/>
      <c r="AI2" s="3" t="inlineStr">
        <is>
          <t>الرموز</t>
        </is>
      </c>
      <c r="AJ2" s="18">
        <f>'الإعدادات'!E8</f>
        <v/>
      </c>
      <c r="AK2" s="19">
        <f>'الإعدادات'!E9</f>
        <v/>
      </c>
      <c r="AL2" s="20">
        <f>'الإعدادات'!E10</f>
        <v/>
      </c>
      <c r="AM2" s="21">
        <f>'الإعدادات'!E11</f>
        <v/>
      </c>
      <c r="AN2" s="22">
        <f>'الإعدادات'!E12</f>
        <v/>
      </c>
    </row>
    <row r="3">
      <c r="A3" s="3" t="inlineStr">
        <is>
          <t>اليوم</t>
        </is>
      </c>
      <c r="C3" s="23">
        <f>IF('خطة الورديات'!C3="","",'خطة الورديات'!C3)</f>
        <v/>
      </c>
      <c r="D3" s="23">
        <f>IF('خطة الورديات'!D3="","",'خطة الورديات'!D3)</f>
        <v/>
      </c>
      <c r="E3" s="23">
        <f>IF('خطة الورديات'!E3="","",'خطة الورديات'!E3)</f>
        <v/>
      </c>
      <c r="F3" s="23">
        <f>IF('خطة الورديات'!F3="","",'خطة الورديات'!F3)</f>
        <v/>
      </c>
      <c r="G3" s="23">
        <f>IF('خطة الورديات'!G3="","",'خطة الورديات'!G3)</f>
        <v/>
      </c>
      <c r="H3" s="23">
        <f>IF('خطة الورديات'!H3="","",'خطة الورديات'!H3)</f>
        <v/>
      </c>
      <c r="I3" s="23">
        <f>IF('خطة الورديات'!I3="","",'خطة الورديات'!I3)</f>
        <v/>
      </c>
      <c r="J3" s="23">
        <f>IF('خطة الورديات'!J3="","",'خطة الورديات'!J3)</f>
        <v/>
      </c>
      <c r="K3" s="23">
        <f>IF('خطة الورديات'!K3="","",'خطة الورديات'!K3)</f>
        <v/>
      </c>
      <c r="L3" s="23">
        <f>IF('خطة الورديات'!L3="","",'خطة الورديات'!L3)</f>
        <v/>
      </c>
      <c r="M3" s="23">
        <f>IF('خطة الورديات'!M3="","",'خطة الورديات'!M3)</f>
        <v/>
      </c>
      <c r="N3" s="23">
        <f>IF('خطة الورديات'!N3="","",'خطة الورديات'!N3)</f>
        <v/>
      </c>
      <c r="O3" s="23">
        <f>IF('خطة الورديات'!O3="","",'خطة الورديات'!O3)</f>
        <v/>
      </c>
      <c r="P3" s="23">
        <f>IF('خطة الورديات'!P3="","",'خطة الورديات'!P3)</f>
        <v/>
      </c>
      <c r="Q3" s="23">
        <f>IF('خطة الورديات'!Q3="","",'خطة الورديات'!Q3)</f>
        <v/>
      </c>
      <c r="R3" s="23">
        <f>IF('خطة الورديات'!R3="","",'خطة الورديات'!R3)</f>
        <v/>
      </c>
      <c r="S3" s="23">
        <f>IF('خطة الورديات'!S3="","",'خطة الورديات'!S3)</f>
        <v/>
      </c>
      <c r="T3" s="23">
        <f>IF('خطة الورديات'!T3="","",'خطة الورديات'!T3)</f>
        <v/>
      </c>
      <c r="U3" s="23">
        <f>IF('خطة الورديات'!U3="","",'خطة الورديات'!U3)</f>
        <v/>
      </c>
      <c r="V3" s="23">
        <f>IF('خطة الورديات'!V3="","",'خطة الورديات'!V3)</f>
        <v/>
      </c>
      <c r="W3" s="23">
        <f>IF('خطة الورديات'!W3="","",'خطة الورديات'!W3)</f>
        <v/>
      </c>
      <c r="X3" s="23">
        <f>IF('خطة الورديات'!X3="","",'خطة الورديات'!X3)</f>
        <v/>
      </c>
      <c r="Y3" s="23">
        <f>IF('خطة الورديات'!Y3="","",'خطة الورديات'!Y3)</f>
        <v/>
      </c>
      <c r="Z3" s="23">
        <f>IF('خطة الورديات'!Z3="","",'خطة الورديات'!Z3)</f>
        <v/>
      </c>
      <c r="AA3" s="23">
        <f>IF('خطة الورديات'!AA3="","",'خطة الورديات'!AA3)</f>
        <v/>
      </c>
      <c r="AB3" s="23">
        <f>IF('خطة الورديات'!AB3="","",'خطة الورديات'!AB3)</f>
        <v/>
      </c>
      <c r="AC3" s="23">
        <f>IF('خطة الورديات'!AC3="","",'خطة الورديات'!AC3)</f>
        <v/>
      </c>
      <c r="AD3" s="23">
        <f>IF('خطة الورديات'!AD3="","",'خطة الورديات'!AD3)</f>
        <v/>
      </c>
      <c r="AE3" s="23">
        <f>IF('خطة الورديات'!AE3="","",'خطة الورديات'!AE3)</f>
        <v/>
      </c>
      <c r="AF3" s="23">
        <f>IF('خطة الورديات'!AF3="","",'خطة الورديات'!AF3)</f>
        <v/>
      </c>
      <c r="AG3" s="23">
        <f>IF('خطة الورديات'!AG3="","",'خطة الورديات'!AG3)</f>
        <v/>
      </c>
      <c r="AJ3" s="2">
        <f>'الإعدادات'!F8</f>
        <v/>
      </c>
      <c r="AK3" s="2">
        <f>'الإعدادات'!F9</f>
        <v/>
      </c>
      <c r="AL3" s="2">
        <f>'الإعدادات'!F10</f>
        <v/>
      </c>
      <c r="AM3" s="2">
        <f>'الإعدادات'!F11</f>
        <v/>
      </c>
      <c r="AN3" s="2">
        <f>'الإعدادات'!F12</f>
        <v/>
      </c>
    </row>
    <row r="4" ht="30" customHeight="1">
      <c r="A4" s="3" t="inlineStr">
        <is>
          <t>اليوم من الأسبوع</t>
        </is>
      </c>
      <c r="C4" s="24">
        <f>IF(C3="","",INDEX(DayNames,WEEKDAY(C3,2)))</f>
        <v/>
      </c>
      <c r="D4" s="24">
        <f>IF(D3="","",INDEX(DayNames,WEEKDAY(D3,2)))</f>
        <v/>
      </c>
      <c r="E4" s="24">
        <f>IF(E3="","",INDEX(DayNames,WEEKDAY(E3,2)))</f>
        <v/>
      </c>
      <c r="F4" s="24">
        <f>IF(F3="","",INDEX(DayNames,WEEKDAY(F3,2)))</f>
        <v/>
      </c>
      <c r="G4" s="24">
        <f>IF(G3="","",INDEX(DayNames,WEEKDAY(G3,2)))</f>
        <v/>
      </c>
      <c r="H4" s="24">
        <f>IF(H3="","",INDEX(DayNames,WEEKDAY(H3,2)))</f>
        <v/>
      </c>
      <c r="I4" s="24">
        <f>IF(I3="","",INDEX(DayNames,WEEKDAY(I3,2)))</f>
        <v/>
      </c>
      <c r="J4" s="24">
        <f>IF(J3="","",INDEX(DayNames,WEEKDAY(J3,2)))</f>
        <v/>
      </c>
      <c r="K4" s="24">
        <f>IF(K3="","",INDEX(DayNames,WEEKDAY(K3,2)))</f>
        <v/>
      </c>
      <c r="L4" s="24">
        <f>IF(L3="","",INDEX(DayNames,WEEKDAY(L3,2)))</f>
        <v/>
      </c>
      <c r="M4" s="24">
        <f>IF(M3="","",INDEX(DayNames,WEEKDAY(M3,2)))</f>
        <v/>
      </c>
      <c r="N4" s="24">
        <f>IF(N3="","",INDEX(DayNames,WEEKDAY(N3,2)))</f>
        <v/>
      </c>
      <c r="O4" s="24">
        <f>IF(O3="","",INDEX(DayNames,WEEKDAY(O3,2)))</f>
        <v/>
      </c>
      <c r="P4" s="24">
        <f>IF(P3="","",INDEX(DayNames,WEEKDAY(P3,2)))</f>
        <v/>
      </c>
      <c r="Q4" s="24">
        <f>IF(Q3="","",INDEX(DayNames,WEEKDAY(Q3,2)))</f>
        <v/>
      </c>
      <c r="R4" s="24">
        <f>IF(R3="","",INDEX(DayNames,WEEKDAY(R3,2)))</f>
        <v/>
      </c>
      <c r="S4" s="24">
        <f>IF(S3="","",INDEX(DayNames,WEEKDAY(S3,2)))</f>
        <v/>
      </c>
      <c r="T4" s="24">
        <f>IF(T3="","",INDEX(DayNames,WEEKDAY(T3,2)))</f>
        <v/>
      </c>
      <c r="U4" s="24">
        <f>IF(U3="","",INDEX(DayNames,WEEKDAY(U3,2)))</f>
        <v/>
      </c>
      <c r="V4" s="24">
        <f>IF(V3="","",INDEX(DayNames,WEEKDAY(V3,2)))</f>
        <v/>
      </c>
      <c r="W4" s="24">
        <f>IF(W3="","",INDEX(DayNames,WEEKDAY(W3,2)))</f>
        <v/>
      </c>
      <c r="X4" s="24">
        <f>IF(X3="","",INDEX(DayNames,WEEKDAY(X3,2)))</f>
        <v/>
      </c>
      <c r="Y4" s="24">
        <f>IF(Y3="","",INDEX(DayNames,WEEKDAY(Y3,2)))</f>
        <v/>
      </c>
      <c r="Z4" s="24">
        <f>IF(Z3="","",INDEX(DayNames,WEEKDAY(Z3,2)))</f>
        <v/>
      </c>
      <c r="AA4" s="24">
        <f>IF(AA3="","",INDEX(DayNames,WEEKDAY(AA3,2)))</f>
        <v/>
      </c>
      <c r="AB4" s="24">
        <f>IF(AB3="","",INDEX(DayNames,WEEKDAY(AB3,2)))</f>
        <v/>
      </c>
      <c r="AC4" s="24">
        <f>IF(AC3="","",INDEX(DayNames,WEEKDAY(AC3,2)))</f>
        <v/>
      </c>
      <c r="AD4" s="24">
        <f>IF(AD3="","",INDEX(DayNames,WEEKDAY(AD3,2)))</f>
        <v/>
      </c>
      <c r="AE4" s="24">
        <f>IF(AE3="","",INDEX(DayNames,WEEKDAY(AE3,2)))</f>
        <v/>
      </c>
      <c r="AF4" s="24">
        <f>IF(AF3="","",INDEX(DayNames,WEEKDAY(AF3,2)))</f>
        <v/>
      </c>
      <c r="AG4" s="24">
        <f>IF(AG3="","",INDEX(DayNames,WEEKDAY(AG3,2)))</f>
        <v/>
      </c>
      <c r="AI4" s="7" t="inlineStr">
        <is>
          <t>أسبوع 1</t>
        </is>
      </c>
      <c r="AJ4" s="7" t="inlineStr">
        <is>
          <t>أسبوع 2</t>
        </is>
      </c>
      <c r="AK4" s="7" t="inlineStr">
        <is>
          <t>أسبوع 3</t>
        </is>
      </c>
      <c r="AL4" s="7" t="inlineStr">
        <is>
          <t>أسبوع 4</t>
        </is>
      </c>
      <c r="AM4" s="7" t="inlineStr">
        <is>
          <t>أسبوع 5</t>
        </is>
      </c>
      <c r="AN4" s="7" t="inlineStr">
        <is>
          <t>أسبوع 6</t>
        </is>
      </c>
      <c r="AO4" s="7" t="inlineStr">
        <is>
          <t>الحد الأسبوعي</t>
        </is>
      </c>
      <c r="AP4" s="7" t="inlineStr">
        <is>
          <t>ساعات الشهر</t>
        </is>
      </c>
      <c r="AQ4" s="7" t="inlineStr">
        <is>
          <t>أيام الراحة</t>
        </is>
      </c>
      <c r="AR4" s="7" t="inlineStr">
        <is>
          <t>أيام الإجازة</t>
        </is>
      </c>
    </row>
    <row r="5">
      <c r="A5" s="2" t="inlineStr">
        <is>
          <t>مفتوح (1) أو مغلق (0)</t>
        </is>
      </c>
      <c r="C5" s="25">
        <f>IF(C3="","",IF(INDEX(OpenDays,WEEKDAY(C3,2))="لا",0,1))</f>
        <v/>
      </c>
      <c r="D5" s="25">
        <f>IF(D3="","",IF(INDEX(OpenDays,WEEKDAY(D3,2))="لا",0,1))</f>
        <v/>
      </c>
      <c r="E5" s="25">
        <f>IF(E3="","",IF(INDEX(OpenDays,WEEKDAY(E3,2))="لا",0,1))</f>
        <v/>
      </c>
      <c r="F5" s="25">
        <f>IF(F3="","",IF(INDEX(OpenDays,WEEKDAY(F3,2))="لا",0,1))</f>
        <v/>
      </c>
      <c r="G5" s="25">
        <f>IF(G3="","",IF(INDEX(OpenDays,WEEKDAY(G3,2))="لا",0,1))</f>
        <v/>
      </c>
      <c r="H5" s="25">
        <f>IF(H3="","",IF(INDEX(OpenDays,WEEKDAY(H3,2))="لا",0,1))</f>
        <v/>
      </c>
      <c r="I5" s="25">
        <f>IF(I3="","",IF(INDEX(OpenDays,WEEKDAY(I3,2))="لا",0,1))</f>
        <v/>
      </c>
      <c r="J5" s="25">
        <f>IF(J3="","",IF(INDEX(OpenDays,WEEKDAY(J3,2))="لا",0,1))</f>
        <v/>
      </c>
      <c r="K5" s="25">
        <f>IF(K3="","",IF(INDEX(OpenDays,WEEKDAY(K3,2))="لا",0,1))</f>
        <v/>
      </c>
      <c r="L5" s="25">
        <f>IF(L3="","",IF(INDEX(OpenDays,WEEKDAY(L3,2))="لا",0,1))</f>
        <v/>
      </c>
      <c r="M5" s="25">
        <f>IF(M3="","",IF(INDEX(OpenDays,WEEKDAY(M3,2))="لا",0,1))</f>
        <v/>
      </c>
      <c r="N5" s="25">
        <f>IF(N3="","",IF(INDEX(OpenDays,WEEKDAY(N3,2))="لا",0,1))</f>
        <v/>
      </c>
      <c r="O5" s="25">
        <f>IF(O3="","",IF(INDEX(OpenDays,WEEKDAY(O3,2))="لا",0,1))</f>
        <v/>
      </c>
      <c r="P5" s="25">
        <f>IF(P3="","",IF(INDEX(OpenDays,WEEKDAY(P3,2))="لا",0,1))</f>
        <v/>
      </c>
      <c r="Q5" s="25">
        <f>IF(Q3="","",IF(INDEX(OpenDays,WEEKDAY(Q3,2))="لا",0,1))</f>
        <v/>
      </c>
      <c r="R5" s="25">
        <f>IF(R3="","",IF(INDEX(OpenDays,WEEKDAY(R3,2))="لا",0,1))</f>
        <v/>
      </c>
      <c r="S5" s="25">
        <f>IF(S3="","",IF(INDEX(OpenDays,WEEKDAY(S3,2))="لا",0,1))</f>
        <v/>
      </c>
      <c r="T5" s="25">
        <f>IF(T3="","",IF(INDEX(OpenDays,WEEKDAY(T3,2))="لا",0,1))</f>
        <v/>
      </c>
      <c r="U5" s="25">
        <f>IF(U3="","",IF(INDEX(OpenDays,WEEKDAY(U3,2))="لا",0,1))</f>
        <v/>
      </c>
      <c r="V5" s="25">
        <f>IF(V3="","",IF(INDEX(OpenDays,WEEKDAY(V3,2))="لا",0,1))</f>
        <v/>
      </c>
      <c r="W5" s="25">
        <f>IF(W3="","",IF(INDEX(OpenDays,WEEKDAY(W3,2))="لا",0,1))</f>
        <v/>
      </c>
      <c r="X5" s="25">
        <f>IF(X3="","",IF(INDEX(OpenDays,WEEKDAY(X3,2))="لا",0,1))</f>
        <v/>
      </c>
      <c r="Y5" s="25">
        <f>IF(Y3="","",IF(INDEX(OpenDays,WEEKDAY(Y3,2))="لا",0,1))</f>
        <v/>
      </c>
      <c r="Z5" s="25">
        <f>IF(Z3="","",IF(INDEX(OpenDays,WEEKDAY(Z3,2))="لا",0,1))</f>
        <v/>
      </c>
      <c r="AA5" s="25">
        <f>IF(AA3="","",IF(INDEX(OpenDays,WEEKDAY(AA3,2))="لا",0,1))</f>
        <v/>
      </c>
      <c r="AB5" s="25">
        <f>IF(AB3="","",IF(INDEX(OpenDays,WEEKDAY(AB3,2))="لا",0,1))</f>
        <v/>
      </c>
      <c r="AC5" s="25">
        <f>IF(AC3="","",IF(INDEX(OpenDays,WEEKDAY(AC3,2))="لا",0,1))</f>
        <v/>
      </c>
      <c r="AD5" s="25">
        <f>IF(AD3="","",IF(INDEX(OpenDays,WEEKDAY(AD3,2))="لا",0,1))</f>
        <v/>
      </c>
      <c r="AE5" s="25">
        <f>IF(AE3="","",IF(INDEX(OpenDays,WEEKDAY(AE3,2))="لا",0,1))</f>
        <v/>
      </c>
      <c r="AF5" s="25">
        <f>IF(AF3="","",IF(INDEX(OpenDays,WEEKDAY(AF3,2))="لا",0,1))</f>
        <v/>
      </c>
      <c r="AG5" s="25">
        <f>IF(AG3="","",IF(INDEX(OpenDays,WEEKDAY(AG3,2))="لا",0,1))</f>
        <v/>
      </c>
      <c r="AI5" s="31">
        <f>IF(MAX($C$3,($C$3-WEEKDAY($C$3,3))+0)&gt;EOMONTH($C$3,0),"",TEXT(MAX($C$3,($C$3-WEEKDAY($C$3,3))+0),"d")&amp;"–"&amp;TEXT(MIN(EOMONTH($C$3,0),($C$3-WEEKDAY($C$3,3))+6),"d/m"))</f>
        <v/>
      </c>
      <c r="AJ5" s="31">
        <f>IF(MAX($C$3,($C$3-WEEKDAY($C$3,3))+7)&gt;EOMONTH($C$3,0),"",TEXT(MAX($C$3,($C$3-WEEKDAY($C$3,3))+7),"d")&amp;"–"&amp;TEXT(MIN(EOMONTH($C$3,0),($C$3-WEEKDAY($C$3,3))+13),"d/m"))</f>
        <v/>
      </c>
      <c r="AK5" s="31">
        <f>IF(MAX($C$3,($C$3-WEEKDAY($C$3,3))+14)&gt;EOMONTH($C$3,0),"",TEXT(MAX($C$3,($C$3-WEEKDAY($C$3,3))+14),"d")&amp;"–"&amp;TEXT(MIN(EOMONTH($C$3,0),($C$3-WEEKDAY($C$3,3))+20),"d/m"))</f>
        <v/>
      </c>
      <c r="AL5" s="31">
        <f>IF(MAX($C$3,($C$3-WEEKDAY($C$3,3))+21)&gt;EOMONTH($C$3,0),"",TEXT(MAX($C$3,($C$3-WEEKDAY($C$3,3))+21),"d")&amp;"–"&amp;TEXT(MIN(EOMONTH($C$3,0),($C$3-WEEKDAY($C$3,3))+27),"d/m"))</f>
        <v/>
      </c>
      <c r="AM5" s="31">
        <f>IF(MAX($C$3,($C$3-WEEKDAY($C$3,3))+28)&gt;EOMONTH($C$3,0),"",TEXT(MAX($C$3,($C$3-WEEKDAY($C$3,3))+28),"d")&amp;"–"&amp;TEXT(MIN(EOMONTH($C$3,0),($C$3-WEEKDAY($C$3,3))+34),"d/m"))</f>
        <v/>
      </c>
      <c r="AN5" s="31">
        <f>IF(MAX($C$3,($C$3-WEEKDAY($C$3,3))+35)&gt;EOMONTH($C$3,0),"",TEXT(MAX($C$3,($C$3-WEEKDAY($C$3,3))+35),"d")&amp;"–"&amp;TEXT(MIN(EOMONTH($C$3,0),($C$3-WEEKDAY($C$3,3))+41),"d/m"))</f>
        <v/>
      </c>
    </row>
    <row r="6">
      <c r="A6" s="2" t="inlineStr">
        <is>
          <t>الأسبوع</t>
        </is>
      </c>
      <c r="C6" s="32">
        <f>IF(C3="","",INT((C3-($C$3-WEEKDAY($C$3,3)))/7)+1)</f>
        <v/>
      </c>
      <c r="D6" s="32">
        <f>IF(D3="","",INT((D3-($C$3-WEEKDAY($C$3,3)))/7)+1)</f>
        <v/>
      </c>
      <c r="E6" s="32">
        <f>IF(E3="","",INT((E3-($C$3-WEEKDAY($C$3,3)))/7)+1)</f>
        <v/>
      </c>
      <c r="F6" s="32">
        <f>IF(F3="","",INT((F3-($C$3-WEEKDAY($C$3,3)))/7)+1)</f>
        <v/>
      </c>
      <c r="G6" s="32">
        <f>IF(G3="","",INT((G3-($C$3-WEEKDAY($C$3,3)))/7)+1)</f>
        <v/>
      </c>
      <c r="H6" s="32">
        <f>IF(H3="","",INT((H3-($C$3-WEEKDAY($C$3,3)))/7)+1)</f>
        <v/>
      </c>
      <c r="I6" s="32">
        <f>IF(I3="","",INT((I3-($C$3-WEEKDAY($C$3,3)))/7)+1)</f>
        <v/>
      </c>
      <c r="J6" s="32">
        <f>IF(J3="","",INT((J3-($C$3-WEEKDAY($C$3,3)))/7)+1)</f>
        <v/>
      </c>
      <c r="K6" s="32">
        <f>IF(K3="","",INT((K3-($C$3-WEEKDAY($C$3,3)))/7)+1)</f>
        <v/>
      </c>
      <c r="L6" s="32">
        <f>IF(L3="","",INT((L3-($C$3-WEEKDAY($C$3,3)))/7)+1)</f>
        <v/>
      </c>
      <c r="M6" s="32">
        <f>IF(M3="","",INT((M3-($C$3-WEEKDAY($C$3,3)))/7)+1)</f>
        <v/>
      </c>
      <c r="N6" s="32">
        <f>IF(N3="","",INT((N3-($C$3-WEEKDAY($C$3,3)))/7)+1)</f>
        <v/>
      </c>
      <c r="O6" s="32">
        <f>IF(O3="","",INT((O3-($C$3-WEEKDAY($C$3,3)))/7)+1)</f>
        <v/>
      </c>
      <c r="P6" s="32">
        <f>IF(P3="","",INT((P3-($C$3-WEEKDAY($C$3,3)))/7)+1)</f>
        <v/>
      </c>
      <c r="Q6" s="32">
        <f>IF(Q3="","",INT((Q3-($C$3-WEEKDAY($C$3,3)))/7)+1)</f>
        <v/>
      </c>
      <c r="R6" s="32">
        <f>IF(R3="","",INT((R3-($C$3-WEEKDAY($C$3,3)))/7)+1)</f>
        <v/>
      </c>
      <c r="S6" s="32">
        <f>IF(S3="","",INT((S3-($C$3-WEEKDAY($C$3,3)))/7)+1)</f>
        <v/>
      </c>
      <c r="T6" s="32">
        <f>IF(T3="","",INT((T3-($C$3-WEEKDAY($C$3,3)))/7)+1)</f>
        <v/>
      </c>
      <c r="U6" s="32">
        <f>IF(U3="","",INT((U3-($C$3-WEEKDAY($C$3,3)))/7)+1)</f>
        <v/>
      </c>
      <c r="V6" s="32">
        <f>IF(V3="","",INT((V3-($C$3-WEEKDAY($C$3,3)))/7)+1)</f>
        <v/>
      </c>
      <c r="W6" s="32">
        <f>IF(W3="","",INT((W3-($C$3-WEEKDAY($C$3,3)))/7)+1)</f>
        <v/>
      </c>
      <c r="X6" s="32">
        <f>IF(X3="","",INT((X3-($C$3-WEEKDAY($C$3,3)))/7)+1)</f>
        <v/>
      </c>
      <c r="Y6" s="32">
        <f>IF(Y3="","",INT((Y3-($C$3-WEEKDAY($C$3,3)))/7)+1)</f>
        <v/>
      </c>
      <c r="Z6" s="32">
        <f>IF(Z3="","",INT((Z3-($C$3-WEEKDAY($C$3,3)))/7)+1)</f>
        <v/>
      </c>
      <c r="AA6" s="32">
        <f>IF(AA3="","",INT((AA3-($C$3-WEEKDAY($C$3,3)))/7)+1)</f>
        <v/>
      </c>
      <c r="AB6" s="32">
        <f>IF(AB3="","",INT((AB3-($C$3-WEEKDAY($C$3,3)))/7)+1)</f>
        <v/>
      </c>
      <c r="AC6" s="32">
        <f>IF(AC3="","",INT((AC3-($C$3-WEEKDAY($C$3,3)))/7)+1)</f>
        <v/>
      </c>
      <c r="AD6" s="32">
        <f>IF(AD3="","",INT((AD3-($C$3-WEEKDAY($C$3,3)))/7)+1)</f>
        <v/>
      </c>
      <c r="AE6" s="32">
        <f>IF(AE3="","",INT((AE3-($C$3-WEEKDAY($C$3,3)))/7)+1)</f>
        <v/>
      </c>
      <c r="AF6" s="32">
        <f>IF(AF3="","",INT((AF3-($C$3-WEEKDAY($C$3,3)))/7)+1)</f>
        <v/>
      </c>
      <c r="AG6" s="32">
        <f>IF(AG3="","",INT((AG3-($C$3-WEEKDAY($C$3,3)))/7)+1)</f>
        <v/>
      </c>
    </row>
    <row r="8">
      <c r="A8" s="3">
        <f>'خطة الورديات'!A7</f>
        <v/>
      </c>
      <c r="B8" s="3" t="inlineStr">
        <is>
          <t>الوظيفة</t>
        </is>
      </c>
    </row>
    <row r="9">
      <c r="A9" s="8">
        <f>IF('خطة الورديات'!A8="","",'خطة الورديات'!A8)</f>
        <v/>
      </c>
      <c r="B9" s="8">
        <f>IF(A9="","",IFERROR(INDEX(StaffRole,MATCH(A9,Staff,0)),""))</f>
        <v/>
      </c>
      <c r="C9" s="33">
        <f>IF(OR(C$3="",$A9=""),"",IF(AND(C$5=1,COUNTIFS(LvStaff,$A9,LvFrom,"&lt;="&amp;C$3,LvTo,"&gt;="&amp;C$3,LvStat,'الإعدادات'!$Q$8)&gt;0),'الإعدادات'!$E$12,IF('خطة الورديات'!C8="","",'خطة الورديات'!C8)))</f>
        <v/>
      </c>
      <c r="D9" s="33">
        <f>IF(OR(D$3="",$A9=""),"",IF(AND(D$5=1,COUNTIFS(LvStaff,$A9,LvFrom,"&lt;="&amp;D$3,LvTo,"&gt;="&amp;D$3,LvStat,'الإعدادات'!$Q$8)&gt;0),'الإعدادات'!$E$12,IF('خطة الورديات'!D8="","",'خطة الورديات'!D8)))</f>
        <v/>
      </c>
      <c r="E9" s="33">
        <f>IF(OR(E$3="",$A9=""),"",IF(AND(E$5=1,COUNTIFS(LvStaff,$A9,LvFrom,"&lt;="&amp;E$3,LvTo,"&gt;="&amp;E$3,LvStat,'الإعدادات'!$Q$8)&gt;0),'الإعدادات'!$E$12,IF('خطة الورديات'!E8="","",'خطة الورديات'!E8)))</f>
        <v/>
      </c>
      <c r="F9" s="33">
        <f>IF(OR(F$3="",$A9=""),"",IF(AND(F$5=1,COUNTIFS(LvStaff,$A9,LvFrom,"&lt;="&amp;F$3,LvTo,"&gt;="&amp;F$3,LvStat,'الإعدادات'!$Q$8)&gt;0),'الإعدادات'!$E$12,IF('خطة الورديات'!F8="","",'خطة الورديات'!F8)))</f>
        <v/>
      </c>
      <c r="G9" s="33">
        <f>IF(OR(G$3="",$A9=""),"",IF(AND(G$5=1,COUNTIFS(LvStaff,$A9,LvFrom,"&lt;="&amp;G$3,LvTo,"&gt;="&amp;G$3,LvStat,'الإعدادات'!$Q$8)&gt;0),'الإعدادات'!$E$12,IF('خطة الورديات'!G8="","",'خطة الورديات'!G8)))</f>
        <v/>
      </c>
      <c r="H9" s="33">
        <f>IF(OR(H$3="",$A9=""),"",IF(AND(H$5=1,COUNTIFS(LvStaff,$A9,LvFrom,"&lt;="&amp;H$3,LvTo,"&gt;="&amp;H$3,LvStat,'الإعدادات'!$Q$8)&gt;0),'الإعدادات'!$E$12,IF('خطة الورديات'!H8="","",'خطة الورديات'!H8)))</f>
        <v/>
      </c>
      <c r="I9" s="33">
        <f>IF(OR(I$3="",$A9=""),"",IF(AND(I$5=1,COUNTIFS(LvStaff,$A9,LvFrom,"&lt;="&amp;I$3,LvTo,"&gt;="&amp;I$3,LvStat,'الإعدادات'!$Q$8)&gt;0),'الإعدادات'!$E$12,IF('خطة الورديات'!I8="","",'خطة الورديات'!I8)))</f>
        <v/>
      </c>
      <c r="J9" s="33">
        <f>IF(OR(J$3="",$A9=""),"",IF(AND(J$5=1,COUNTIFS(LvStaff,$A9,LvFrom,"&lt;="&amp;J$3,LvTo,"&gt;="&amp;J$3,LvStat,'الإعدادات'!$Q$8)&gt;0),'الإعدادات'!$E$12,IF('خطة الورديات'!J8="","",'خطة الورديات'!J8)))</f>
        <v/>
      </c>
      <c r="K9" s="33">
        <f>IF(OR(K$3="",$A9=""),"",IF(AND(K$5=1,COUNTIFS(LvStaff,$A9,LvFrom,"&lt;="&amp;K$3,LvTo,"&gt;="&amp;K$3,LvStat,'الإعدادات'!$Q$8)&gt;0),'الإعدادات'!$E$12,IF('خطة الورديات'!K8="","",'خطة الورديات'!K8)))</f>
        <v/>
      </c>
      <c r="L9" s="33">
        <f>IF(OR(L$3="",$A9=""),"",IF(AND(L$5=1,COUNTIFS(LvStaff,$A9,LvFrom,"&lt;="&amp;L$3,LvTo,"&gt;="&amp;L$3,LvStat,'الإعدادات'!$Q$8)&gt;0),'الإعدادات'!$E$12,IF('خطة الورديات'!L8="","",'خطة الورديات'!L8)))</f>
        <v/>
      </c>
      <c r="M9" s="33">
        <f>IF(OR(M$3="",$A9=""),"",IF(AND(M$5=1,COUNTIFS(LvStaff,$A9,LvFrom,"&lt;="&amp;M$3,LvTo,"&gt;="&amp;M$3,LvStat,'الإعدادات'!$Q$8)&gt;0),'الإعدادات'!$E$12,IF('خطة الورديات'!M8="","",'خطة الورديات'!M8)))</f>
        <v/>
      </c>
      <c r="N9" s="33">
        <f>IF(OR(N$3="",$A9=""),"",IF(AND(N$5=1,COUNTIFS(LvStaff,$A9,LvFrom,"&lt;="&amp;N$3,LvTo,"&gt;="&amp;N$3,LvStat,'الإعدادات'!$Q$8)&gt;0),'الإعدادات'!$E$12,IF('خطة الورديات'!N8="","",'خطة الورديات'!N8)))</f>
        <v/>
      </c>
      <c r="O9" s="33">
        <f>IF(OR(O$3="",$A9=""),"",IF(AND(O$5=1,COUNTIFS(LvStaff,$A9,LvFrom,"&lt;="&amp;O$3,LvTo,"&gt;="&amp;O$3,LvStat,'الإعدادات'!$Q$8)&gt;0),'الإعدادات'!$E$12,IF('خطة الورديات'!O8="","",'خطة الورديات'!O8)))</f>
        <v/>
      </c>
      <c r="P9" s="33">
        <f>IF(OR(P$3="",$A9=""),"",IF(AND(P$5=1,COUNTIFS(LvStaff,$A9,LvFrom,"&lt;="&amp;P$3,LvTo,"&gt;="&amp;P$3,LvStat,'الإعدادات'!$Q$8)&gt;0),'الإعدادات'!$E$12,IF('خطة الورديات'!P8="","",'خطة الورديات'!P8)))</f>
        <v/>
      </c>
      <c r="Q9" s="33">
        <f>IF(OR(Q$3="",$A9=""),"",IF(AND(Q$5=1,COUNTIFS(LvStaff,$A9,LvFrom,"&lt;="&amp;Q$3,LvTo,"&gt;="&amp;Q$3,LvStat,'الإعدادات'!$Q$8)&gt;0),'الإعدادات'!$E$12,IF('خطة الورديات'!Q8="","",'خطة الورديات'!Q8)))</f>
        <v/>
      </c>
      <c r="R9" s="33">
        <f>IF(OR(R$3="",$A9=""),"",IF(AND(R$5=1,COUNTIFS(LvStaff,$A9,LvFrom,"&lt;="&amp;R$3,LvTo,"&gt;="&amp;R$3,LvStat,'الإعدادات'!$Q$8)&gt;0),'الإعدادات'!$E$12,IF('خطة الورديات'!R8="","",'خطة الورديات'!R8)))</f>
        <v/>
      </c>
      <c r="S9" s="33">
        <f>IF(OR(S$3="",$A9=""),"",IF(AND(S$5=1,COUNTIFS(LvStaff,$A9,LvFrom,"&lt;="&amp;S$3,LvTo,"&gt;="&amp;S$3,LvStat,'الإعدادات'!$Q$8)&gt;0),'الإعدادات'!$E$12,IF('خطة الورديات'!S8="","",'خطة الورديات'!S8)))</f>
        <v/>
      </c>
      <c r="T9" s="33">
        <f>IF(OR(T$3="",$A9=""),"",IF(AND(T$5=1,COUNTIFS(LvStaff,$A9,LvFrom,"&lt;="&amp;T$3,LvTo,"&gt;="&amp;T$3,LvStat,'الإعدادات'!$Q$8)&gt;0),'الإعدادات'!$E$12,IF('خطة الورديات'!T8="","",'خطة الورديات'!T8)))</f>
        <v/>
      </c>
      <c r="U9" s="33">
        <f>IF(OR(U$3="",$A9=""),"",IF(AND(U$5=1,COUNTIFS(LvStaff,$A9,LvFrom,"&lt;="&amp;U$3,LvTo,"&gt;="&amp;U$3,LvStat,'الإعدادات'!$Q$8)&gt;0),'الإعدادات'!$E$12,IF('خطة الورديات'!U8="","",'خطة الورديات'!U8)))</f>
        <v/>
      </c>
      <c r="V9" s="33">
        <f>IF(OR(V$3="",$A9=""),"",IF(AND(V$5=1,COUNTIFS(LvStaff,$A9,LvFrom,"&lt;="&amp;V$3,LvTo,"&gt;="&amp;V$3,LvStat,'الإعدادات'!$Q$8)&gt;0),'الإعدادات'!$E$12,IF('خطة الورديات'!V8="","",'خطة الورديات'!V8)))</f>
        <v/>
      </c>
      <c r="W9" s="33">
        <f>IF(OR(W$3="",$A9=""),"",IF(AND(W$5=1,COUNTIFS(LvStaff,$A9,LvFrom,"&lt;="&amp;W$3,LvTo,"&gt;="&amp;W$3,LvStat,'الإعدادات'!$Q$8)&gt;0),'الإعدادات'!$E$12,IF('خطة الورديات'!W8="","",'خطة الورديات'!W8)))</f>
        <v/>
      </c>
      <c r="X9" s="33">
        <f>IF(OR(X$3="",$A9=""),"",IF(AND(X$5=1,COUNTIFS(LvStaff,$A9,LvFrom,"&lt;="&amp;X$3,LvTo,"&gt;="&amp;X$3,LvStat,'الإعدادات'!$Q$8)&gt;0),'الإعدادات'!$E$12,IF('خطة الورديات'!X8="","",'خطة الورديات'!X8)))</f>
        <v/>
      </c>
      <c r="Y9" s="33">
        <f>IF(OR(Y$3="",$A9=""),"",IF(AND(Y$5=1,COUNTIFS(LvStaff,$A9,LvFrom,"&lt;="&amp;Y$3,LvTo,"&gt;="&amp;Y$3,LvStat,'الإعدادات'!$Q$8)&gt;0),'الإعدادات'!$E$12,IF('خطة الورديات'!Y8="","",'خطة الورديات'!Y8)))</f>
        <v/>
      </c>
      <c r="Z9" s="33">
        <f>IF(OR(Z$3="",$A9=""),"",IF(AND(Z$5=1,COUNTIFS(LvStaff,$A9,LvFrom,"&lt;="&amp;Z$3,LvTo,"&gt;="&amp;Z$3,LvStat,'الإعدادات'!$Q$8)&gt;0),'الإعدادات'!$E$12,IF('خطة الورديات'!Z8="","",'خطة الورديات'!Z8)))</f>
        <v/>
      </c>
      <c r="AA9" s="33">
        <f>IF(OR(AA$3="",$A9=""),"",IF(AND(AA$5=1,COUNTIFS(LvStaff,$A9,LvFrom,"&lt;="&amp;AA$3,LvTo,"&gt;="&amp;AA$3,LvStat,'الإعدادات'!$Q$8)&gt;0),'الإعدادات'!$E$12,IF('خطة الورديات'!AA8="","",'خطة الورديات'!AA8)))</f>
        <v/>
      </c>
      <c r="AB9" s="33">
        <f>IF(OR(AB$3="",$A9=""),"",IF(AND(AB$5=1,COUNTIFS(LvStaff,$A9,LvFrom,"&lt;="&amp;AB$3,LvTo,"&gt;="&amp;AB$3,LvStat,'الإعدادات'!$Q$8)&gt;0),'الإعدادات'!$E$12,IF('خطة الورديات'!AB8="","",'خطة الورديات'!AB8)))</f>
        <v/>
      </c>
      <c r="AC9" s="33">
        <f>IF(OR(AC$3="",$A9=""),"",IF(AND(AC$5=1,COUNTIFS(LvStaff,$A9,LvFrom,"&lt;="&amp;AC$3,LvTo,"&gt;="&amp;AC$3,LvStat,'الإعدادات'!$Q$8)&gt;0),'الإعدادات'!$E$12,IF('خطة الورديات'!AC8="","",'خطة الورديات'!AC8)))</f>
        <v/>
      </c>
      <c r="AD9" s="33">
        <f>IF(OR(AD$3="",$A9=""),"",IF(AND(AD$5=1,COUNTIFS(LvStaff,$A9,LvFrom,"&lt;="&amp;AD$3,LvTo,"&gt;="&amp;AD$3,LvStat,'الإعدادات'!$Q$8)&gt;0),'الإعدادات'!$E$12,IF('خطة الورديات'!AD8="","",'خطة الورديات'!AD8)))</f>
        <v/>
      </c>
      <c r="AE9" s="33">
        <f>IF(OR(AE$3="",$A9=""),"",IF(AND(AE$5=1,COUNTIFS(LvStaff,$A9,LvFrom,"&lt;="&amp;AE$3,LvTo,"&gt;="&amp;AE$3,LvStat,'الإعدادات'!$Q$8)&gt;0),'الإعدادات'!$E$12,IF('خطة الورديات'!AE8="","",'خطة الورديات'!AE8)))</f>
        <v/>
      </c>
      <c r="AF9" s="33">
        <f>IF(OR(AF$3="",$A9=""),"",IF(AND(AF$5=1,COUNTIFS(LvStaff,$A9,LvFrom,"&lt;="&amp;AF$3,LvTo,"&gt;="&amp;AF$3,LvStat,'الإعدادات'!$Q$8)&gt;0),'الإعدادات'!$E$12,IF('خطة الورديات'!AF8="","",'خطة الورديات'!AF8)))</f>
        <v/>
      </c>
      <c r="AG9" s="33">
        <f>IF(OR(AG$3="",$A9=""),"",IF(AND(AG$5=1,COUNTIFS(LvStaff,$A9,LvFrom,"&lt;="&amp;AG$3,LvTo,"&gt;="&amp;AG$3,LvStat,'الإعدادات'!$Q$8)&gt;0),'الإعدادات'!$E$12,IF('خطة الورديات'!AG8="","",'خطة الورديات'!AG8)))</f>
        <v/>
      </c>
      <c r="AI9" s="28">
        <f>IF($A9="","",'الإعدادات'!$I$8*COUNTIFS($C9:$AG9,'الإعدادات'!$E$8,$C$6:$AG$6,1)+'الإعدادات'!$I$9*COUNTIFS($C9:$AG9,'الإعدادات'!$E$9,$C$6:$AG$6,1)+'الإعدادات'!$I$10*COUNTIFS($C9:$AG9,'الإعدادات'!$E$10,$C$6:$AG$6,1)+'الإعدادات'!$I$11*COUNTIFS($C9:$AG9,'الإعدادات'!$E$11,$C$6:$AG$6,1)+'الإعدادات'!$I$12*COUNTIFS($C9:$AG9,'الإعدادات'!$E$12,$C$6:$AG$6,1)+'الإعدادات'!$I$13*COUNTIFS($C9:$AG9,'الإعدادات'!$E$13,$C$6:$AG$6,1)+'الإعدادات'!$I$14*COUNTIFS($C9:$AG9,'الإعدادات'!$E$14,$C$6:$AG$6,1)+'الإعدادات'!$I$15*COUNTIFS($C9:$AG9,'الإعدادات'!$E$15,$C$6:$AG$6,1))</f>
        <v/>
      </c>
      <c r="AJ9" s="28">
        <f>IF($A9="","",'الإعدادات'!$I$8*COUNTIFS($C9:$AG9,'الإعدادات'!$E$8,$C$6:$AG$6,2)+'الإعدادات'!$I$9*COUNTIFS($C9:$AG9,'الإعدادات'!$E$9,$C$6:$AG$6,2)+'الإعدادات'!$I$10*COUNTIFS($C9:$AG9,'الإعدادات'!$E$10,$C$6:$AG$6,2)+'الإعدادات'!$I$11*COUNTIFS($C9:$AG9,'الإعدادات'!$E$11,$C$6:$AG$6,2)+'الإعدادات'!$I$12*COUNTIFS($C9:$AG9,'الإعدادات'!$E$12,$C$6:$AG$6,2)+'الإعدادات'!$I$13*COUNTIFS($C9:$AG9,'الإعدادات'!$E$13,$C$6:$AG$6,2)+'الإعدادات'!$I$14*COUNTIFS($C9:$AG9,'الإعدادات'!$E$14,$C$6:$AG$6,2)+'الإعدادات'!$I$15*COUNTIFS($C9:$AG9,'الإعدادات'!$E$15,$C$6:$AG$6,2))</f>
        <v/>
      </c>
      <c r="AK9" s="28">
        <f>IF($A9="","",'الإعدادات'!$I$8*COUNTIFS($C9:$AG9,'الإعدادات'!$E$8,$C$6:$AG$6,3)+'الإعدادات'!$I$9*COUNTIFS($C9:$AG9,'الإعدادات'!$E$9,$C$6:$AG$6,3)+'الإعدادات'!$I$10*COUNTIFS($C9:$AG9,'الإعدادات'!$E$10,$C$6:$AG$6,3)+'الإعدادات'!$I$11*COUNTIFS($C9:$AG9,'الإعدادات'!$E$11,$C$6:$AG$6,3)+'الإعدادات'!$I$12*COUNTIFS($C9:$AG9,'الإعدادات'!$E$12,$C$6:$AG$6,3)+'الإعدادات'!$I$13*COUNTIFS($C9:$AG9,'الإعدادات'!$E$13,$C$6:$AG$6,3)+'الإعدادات'!$I$14*COUNTIFS($C9:$AG9,'الإعدادات'!$E$14,$C$6:$AG$6,3)+'الإعدادات'!$I$15*COUNTIFS($C9:$AG9,'الإعدادات'!$E$15,$C$6:$AG$6,3))</f>
        <v/>
      </c>
      <c r="AL9" s="28">
        <f>IF($A9="","",'الإعدادات'!$I$8*COUNTIFS($C9:$AG9,'الإعدادات'!$E$8,$C$6:$AG$6,4)+'الإعدادات'!$I$9*COUNTIFS($C9:$AG9,'الإعدادات'!$E$9,$C$6:$AG$6,4)+'الإعدادات'!$I$10*COUNTIFS($C9:$AG9,'الإعدادات'!$E$10,$C$6:$AG$6,4)+'الإعدادات'!$I$11*COUNTIFS($C9:$AG9,'الإعدادات'!$E$11,$C$6:$AG$6,4)+'الإعدادات'!$I$12*COUNTIFS($C9:$AG9,'الإعدادات'!$E$12,$C$6:$AG$6,4)+'الإعدادات'!$I$13*COUNTIFS($C9:$AG9,'الإعدادات'!$E$13,$C$6:$AG$6,4)+'الإعدادات'!$I$14*COUNTIFS($C9:$AG9,'الإعدادات'!$E$14,$C$6:$AG$6,4)+'الإعدادات'!$I$15*COUNTIFS($C9:$AG9,'الإعدادات'!$E$15,$C$6:$AG$6,4))</f>
        <v/>
      </c>
      <c r="AM9" s="28">
        <f>IF($A9="","",'الإعدادات'!$I$8*COUNTIFS($C9:$AG9,'الإعدادات'!$E$8,$C$6:$AG$6,5)+'الإعدادات'!$I$9*COUNTIFS($C9:$AG9,'الإعدادات'!$E$9,$C$6:$AG$6,5)+'الإعدادات'!$I$10*COUNTIFS($C9:$AG9,'الإعدادات'!$E$10,$C$6:$AG$6,5)+'الإعدادات'!$I$11*COUNTIFS($C9:$AG9,'الإعدادات'!$E$11,$C$6:$AG$6,5)+'الإعدادات'!$I$12*COUNTIFS($C9:$AG9,'الإعدادات'!$E$12,$C$6:$AG$6,5)+'الإعدادات'!$I$13*COUNTIFS($C9:$AG9,'الإعدادات'!$E$13,$C$6:$AG$6,5)+'الإعدادات'!$I$14*COUNTIFS($C9:$AG9,'الإعدادات'!$E$14,$C$6:$AG$6,5)+'الإعدادات'!$I$15*COUNTIFS($C9:$AG9,'الإعدادات'!$E$15,$C$6:$AG$6,5))</f>
        <v/>
      </c>
      <c r="AN9" s="28">
        <f>IF($A9="","",'الإعدادات'!$I$8*COUNTIFS($C9:$AG9,'الإعدادات'!$E$8,$C$6:$AG$6,6)+'الإعدادات'!$I$9*COUNTIFS($C9:$AG9,'الإعدادات'!$E$9,$C$6:$AG$6,6)+'الإعدادات'!$I$10*COUNTIFS($C9:$AG9,'الإعدادات'!$E$10,$C$6:$AG$6,6)+'الإعدادات'!$I$11*COUNTIFS($C9:$AG9,'الإعدادات'!$E$11,$C$6:$AG$6,6)+'الإعدادات'!$I$12*COUNTIFS($C9:$AG9,'الإعدادات'!$E$12,$C$6:$AG$6,6)+'الإعدادات'!$I$13*COUNTIFS($C9:$AG9,'الإعدادات'!$E$13,$C$6:$AG$6,6)+'الإعدادات'!$I$14*COUNTIFS($C9:$AG9,'الإعدادات'!$E$14,$C$6:$AG$6,6)+'الإعدادات'!$I$15*COUNTIFS($C9:$AG9,'الإعدادات'!$E$15,$C$6:$AG$6,6))</f>
        <v/>
      </c>
      <c r="AO9" s="28">
        <f>IF($A9="","",IFERROR(INDEX(StaffLimit,MATCH($A9,Staff,0)),""))</f>
        <v/>
      </c>
      <c r="AP9" s="34">
        <f>IF($A9="","",SUM(AI9:AN9))</f>
        <v/>
      </c>
      <c r="AQ9" s="28">
        <f>IF($A9="","",COUNTIF($C9:$AG9,'الإعدادات'!$E$11))</f>
        <v/>
      </c>
      <c r="AR9" s="28">
        <f>IF($A9="","",COUNTIF($C9:$AG9,'الإعدادات'!$E$12))</f>
        <v/>
      </c>
    </row>
    <row r="10">
      <c r="A10" s="8">
        <f>IF('خطة الورديات'!A9="","",'خطة الورديات'!A9)</f>
        <v/>
      </c>
      <c r="B10" s="8">
        <f>IF(A10="","",IFERROR(INDEX(StaffRole,MATCH(A10,Staff,0)),""))</f>
        <v/>
      </c>
      <c r="C10" s="33">
        <f>IF(OR(C$3="",$A10=""),"",IF(AND(C$5=1,COUNTIFS(LvStaff,$A10,LvFrom,"&lt;="&amp;C$3,LvTo,"&gt;="&amp;C$3,LvStat,'الإعدادات'!$Q$8)&gt;0),'الإعدادات'!$E$12,IF('خطة الورديات'!C9="","",'خطة الورديات'!C9)))</f>
        <v/>
      </c>
      <c r="D10" s="33">
        <f>IF(OR(D$3="",$A10=""),"",IF(AND(D$5=1,COUNTIFS(LvStaff,$A10,LvFrom,"&lt;="&amp;D$3,LvTo,"&gt;="&amp;D$3,LvStat,'الإعدادات'!$Q$8)&gt;0),'الإعدادات'!$E$12,IF('خطة الورديات'!D9="","",'خطة الورديات'!D9)))</f>
        <v/>
      </c>
      <c r="E10" s="33">
        <f>IF(OR(E$3="",$A10=""),"",IF(AND(E$5=1,COUNTIFS(LvStaff,$A10,LvFrom,"&lt;="&amp;E$3,LvTo,"&gt;="&amp;E$3,LvStat,'الإعدادات'!$Q$8)&gt;0),'الإعدادات'!$E$12,IF('خطة الورديات'!E9="","",'خطة الورديات'!E9)))</f>
        <v/>
      </c>
      <c r="F10" s="33">
        <f>IF(OR(F$3="",$A10=""),"",IF(AND(F$5=1,COUNTIFS(LvStaff,$A10,LvFrom,"&lt;="&amp;F$3,LvTo,"&gt;="&amp;F$3,LvStat,'الإعدادات'!$Q$8)&gt;0),'الإعدادات'!$E$12,IF('خطة الورديات'!F9="","",'خطة الورديات'!F9)))</f>
        <v/>
      </c>
      <c r="G10" s="33">
        <f>IF(OR(G$3="",$A10=""),"",IF(AND(G$5=1,COUNTIFS(LvStaff,$A10,LvFrom,"&lt;="&amp;G$3,LvTo,"&gt;="&amp;G$3,LvStat,'الإعدادات'!$Q$8)&gt;0),'الإعدادات'!$E$12,IF('خطة الورديات'!G9="","",'خطة الورديات'!G9)))</f>
        <v/>
      </c>
      <c r="H10" s="33">
        <f>IF(OR(H$3="",$A10=""),"",IF(AND(H$5=1,COUNTIFS(LvStaff,$A10,LvFrom,"&lt;="&amp;H$3,LvTo,"&gt;="&amp;H$3,LvStat,'الإعدادات'!$Q$8)&gt;0),'الإعدادات'!$E$12,IF('خطة الورديات'!H9="","",'خطة الورديات'!H9)))</f>
        <v/>
      </c>
      <c r="I10" s="33">
        <f>IF(OR(I$3="",$A10=""),"",IF(AND(I$5=1,COUNTIFS(LvStaff,$A10,LvFrom,"&lt;="&amp;I$3,LvTo,"&gt;="&amp;I$3,LvStat,'الإعدادات'!$Q$8)&gt;0),'الإعدادات'!$E$12,IF('خطة الورديات'!I9="","",'خطة الورديات'!I9)))</f>
        <v/>
      </c>
      <c r="J10" s="33">
        <f>IF(OR(J$3="",$A10=""),"",IF(AND(J$5=1,COUNTIFS(LvStaff,$A10,LvFrom,"&lt;="&amp;J$3,LvTo,"&gt;="&amp;J$3,LvStat,'الإعدادات'!$Q$8)&gt;0),'الإعدادات'!$E$12,IF('خطة الورديات'!J9="","",'خطة الورديات'!J9)))</f>
        <v/>
      </c>
      <c r="K10" s="33">
        <f>IF(OR(K$3="",$A10=""),"",IF(AND(K$5=1,COUNTIFS(LvStaff,$A10,LvFrom,"&lt;="&amp;K$3,LvTo,"&gt;="&amp;K$3,LvStat,'الإعدادات'!$Q$8)&gt;0),'الإعدادات'!$E$12,IF('خطة الورديات'!K9="","",'خطة الورديات'!K9)))</f>
        <v/>
      </c>
      <c r="L10" s="33">
        <f>IF(OR(L$3="",$A10=""),"",IF(AND(L$5=1,COUNTIFS(LvStaff,$A10,LvFrom,"&lt;="&amp;L$3,LvTo,"&gt;="&amp;L$3,LvStat,'الإعدادات'!$Q$8)&gt;0),'الإعدادات'!$E$12,IF('خطة الورديات'!L9="","",'خطة الورديات'!L9)))</f>
        <v/>
      </c>
      <c r="M10" s="33">
        <f>IF(OR(M$3="",$A10=""),"",IF(AND(M$5=1,COUNTIFS(LvStaff,$A10,LvFrom,"&lt;="&amp;M$3,LvTo,"&gt;="&amp;M$3,LvStat,'الإعدادات'!$Q$8)&gt;0),'الإعدادات'!$E$12,IF('خطة الورديات'!M9="","",'خطة الورديات'!M9)))</f>
        <v/>
      </c>
      <c r="N10" s="33">
        <f>IF(OR(N$3="",$A10=""),"",IF(AND(N$5=1,COUNTIFS(LvStaff,$A10,LvFrom,"&lt;="&amp;N$3,LvTo,"&gt;="&amp;N$3,LvStat,'الإعدادات'!$Q$8)&gt;0),'الإعدادات'!$E$12,IF('خطة الورديات'!N9="","",'خطة الورديات'!N9)))</f>
        <v/>
      </c>
      <c r="O10" s="33">
        <f>IF(OR(O$3="",$A10=""),"",IF(AND(O$5=1,COUNTIFS(LvStaff,$A10,LvFrom,"&lt;="&amp;O$3,LvTo,"&gt;="&amp;O$3,LvStat,'الإعدادات'!$Q$8)&gt;0),'الإعدادات'!$E$12,IF('خطة الورديات'!O9="","",'خطة الورديات'!O9)))</f>
        <v/>
      </c>
      <c r="P10" s="33">
        <f>IF(OR(P$3="",$A10=""),"",IF(AND(P$5=1,COUNTIFS(LvStaff,$A10,LvFrom,"&lt;="&amp;P$3,LvTo,"&gt;="&amp;P$3,LvStat,'الإعدادات'!$Q$8)&gt;0),'الإعدادات'!$E$12,IF('خطة الورديات'!P9="","",'خطة الورديات'!P9)))</f>
        <v/>
      </c>
      <c r="Q10" s="33">
        <f>IF(OR(Q$3="",$A10=""),"",IF(AND(Q$5=1,COUNTIFS(LvStaff,$A10,LvFrom,"&lt;="&amp;Q$3,LvTo,"&gt;="&amp;Q$3,LvStat,'الإعدادات'!$Q$8)&gt;0),'الإعدادات'!$E$12,IF('خطة الورديات'!Q9="","",'خطة الورديات'!Q9)))</f>
        <v/>
      </c>
      <c r="R10" s="33">
        <f>IF(OR(R$3="",$A10=""),"",IF(AND(R$5=1,COUNTIFS(LvStaff,$A10,LvFrom,"&lt;="&amp;R$3,LvTo,"&gt;="&amp;R$3,LvStat,'الإعدادات'!$Q$8)&gt;0),'الإعدادات'!$E$12,IF('خطة الورديات'!R9="","",'خطة الورديات'!R9)))</f>
        <v/>
      </c>
      <c r="S10" s="33">
        <f>IF(OR(S$3="",$A10=""),"",IF(AND(S$5=1,COUNTIFS(LvStaff,$A10,LvFrom,"&lt;="&amp;S$3,LvTo,"&gt;="&amp;S$3,LvStat,'الإعدادات'!$Q$8)&gt;0),'الإعدادات'!$E$12,IF('خطة الورديات'!S9="","",'خطة الورديات'!S9)))</f>
        <v/>
      </c>
      <c r="T10" s="33">
        <f>IF(OR(T$3="",$A10=""),"",IF(AND(T$5=1,COUNTIFS(LvStaff,$A10,LvFrom,"&lt;="&amp;T$3,LvTo,"&gt;="&amp;T$3,LvStat,'الإعدادات'!$Q$8)&gt;0),'الإعدادات'!$E$12,IF('خطة الورديات'!T9="","",'خطة الورديات'!T9)))</f>
        <v/>
      </c>
      <c r="U10" s="33">
        <f>IF(OR(U$3="",$A10=""),"",IF(AND(U$5=1,COUNTIFS(LvStaff,$A10,LvFrom,"&lt;="&amp;U$3,LvTo,"&gt;="&amp;U$3,LvStat,'الإعدادات'!$Q$8)&gt;0),'الإعدادات'!$E$12,IF('خطة الورديات'!U9="","",'خطة الورديات'!U9)))</f>
        <v/>
      </c>
      <c r="V10" s="33">
        <f>IF(OR(V$3="",$A10=""),"",IF(AND(V$5=1,COUNTIFS(LvStaff,$A10,LvFrom,"&lt;="&amp;V$3,LvTo,"&gt;="&amp;V$3,LvStat,'الإعدادات'!$Q$8)&gt;0),'الإعدادات'!$E$12,IF('خطة الورديات'!V9="","",'خطة الورديات'!V9)))</f>
        <v/>
      </c>
      <c r="W10" s="33">
        <f>IF(OR(W$3="",$A10=""),"",IF(AND(W$5=1,COUNTIFS(LvStaff,$A10,LvFrom,"&lt;="&amp;W$3,LvTo,"&gt;="&amp;W$3,LvStat,'الإعدادات'!$Q$8)&gt;0),'الإعدادات'!$E$12,IF('خطة الورديات'!W9="","",'خطة الورديات'!W9)))</f>
        <v/>
      </c>
      <c r="X10" s="33">
        <f>IF(OR(X$3="",$A10=""),"",IF(AND(X$5=1,COUNTIFS(LvStaff,$A10,LvFrom,"&lt;="&amp;X$3,LvTo,"&gt;="&amp;X$3,LvStat,'الإعدادات'!$Q$8)&gt;0),'الإعدادات'!$E$12,IF('خطة الورديات'!X9="","",'خطة الورديات'!X9)))</f>
        <v/>
      </c>
      <c r="Y10" s="33">
        <f>IF(OR(Y$3="",$A10=""),"",IF(AND(Y$5=1,COUNTIFS(LvStaff,$A10,LvFrom,"&lt;="&amp;Y$3,LvTo,"&gt;="&amp;Y$3,LvStat,'الإعدادات'!$Q$8)&gt;0),'الإعدادات'!$E$12,IF('خطة الورديات'!Y9="","",'خطة الورديات'!Y9)))</f>
        <v/>
      </c>
      <c r="Z10" s="33">
        <f>IF(OR(Z$3="",$A10=""),"",IF(AND(Z$5=1,COUNTIFS(LvStaff,$A10,LvFrom,"&lt;="&amp;Z$3,LvTo,"&gt;="&amp;Z$3,LvStat,'الإعدادات'!$Q$8)&gt;0),'الإعدادات'!$E$12,IF('خطة الورديات'!Z9="","",'خطة الورديات'!Z9)))</f>
        <v/>
      </c>
      <c r="AA10" s="33">
        <f>IF(OR(AA$3="",$A10=""),"",IF(AND(AA$5=1,COUNTIFS(LvStaff,$A10,LvFrom,"&lt;="&amp;AA$3,LvTo,"&gt;="&amp;AA$3,LvStat,'الإعدادات'!$Q$8)&gt;0),'الإعدادات'!$E$12,IF('خطة الورديات'!AA9="","",'خطة الورديات'!AA9)))</f>
        <v/>
      </c>
      <c r="AB10" s="33">
        <f>IF(OR(AB$3="",$A10=""),"",IF(AND(AB$5=1,COUNTIFS(LvStaff,$A10,LvFrom,"&lt;="&amp;AB$3,LvTo,"&gt;="&amp;AB$3,LvStat,'الإعدادات'!$Q$8)&gt;0),'الإعدادات'!$E$12,IF('خطة الورديات'!AB9="","",'خطة الورديات'!AB9)))</f>
        <v/>
      </c>
      <c r="AC10" s="33">
        <f>IF(OR(AC$3="",$A10=""),"",IF(AND(AC$5=1,COUNTIFS(LvStaff,$A10,LvFrom,"&lt;="&amp;AC$3,LvTo,"&gt;="&amp;AC$3,LvStat,'الإعدادات'!$Q$8)&gt;0),'الإعدادات'!$E$12,IF('خطة الورديات'!AC9="","",'خطة الورديات'!AC9)))</f>
        <v/>
      </c>
      <c r="AD10" s="33">
        <f>IF(OR(AD$3="",$A10=""),"",IF(AND(AD$5=1,COUNTIFS(LvStaff,$A10,LvFrom,"&lt;="&amp;AD$3,LvTo,"&gt;="&amp;AD$3,LvStat,'الإعدادات'!$Q$8)&gt;0),'الإعدادات'!$E$12,IF('خطة الورديات'!AD9="","",'خطة الورديات'!AD9)))</f>
        <v/>
      </c>
      <c r="AE10" s="33">
        <f>IF(OR(AE$3="",$A10=""),"",IF(AND(AE$5=1,COUNTIFS(LvStaff,$A10,LvFrom,"&lt;="&amp;AE$3,LvTo,"&gt;="&amp;AE$3,LvStat,'الإعدادات'!$Q$8)&gt;0),'الإعدادات'!$E$12,IF('خطة الورديات'!AE9="","",'خطة الورديات'!AE9)))</f>
        <v/>
      </c>
      <c r="AF10" s="33">
        <f>IF(OR(AF$3="",$A10=""),"",IF(AND(AF$5=1,COUNTIFS(LvStaff,$A10,LvFrom,"&lt;="&amp;AF$3,LvTo,"&gt;="&amp;AF$3,LvStat,'الإعدادات'!$Q$8)&gt;0),'الإعدادات'!$E$12,IF('خطة الورديات'!AF9="","",'خطة الورديات'!AF9)))</f>
        <v/>
      </c>
      <c r="AG10" s="33">
        <f>IF(OR(AG$3="",$A10=""),"",IF(AND(AG$5=1,COUNTIFS(LvStaff,$A10,LvFrom,"&lt;="&amp;AG$3,LvTo,"&gt;="&amp;AG$3,LvStat,'الإعدادات'!$Q$8)&gt;0),'الإعدادات'!$E$12,IF('خطة الورديات'!AG9="","",'خطة الورديات'!AG9)))</f>
        <v/>
      </c>
      <c r="AI10" s="28">
        <f>IF($A10="","",'الإعدادات'!$I$8*COUNTIFS($C10:$AG10,'الإعدادات'!$E$8,$C$6:$AG$6,1)+'الإعدادات'!$I$9*COUNTIFS($C10:$AG10,'الإعدادات'!$E$9,$C$6:$AG$6,1)+'الإعدادات'!$I$10*COUNTIFS($C10:$AG10,'الإعدادات'!$E$10,$C$6:$AG$6,1)+'الإعدادات'!$I$11*COUNTIFS($C10:$AG10,'الإعدادات'!$E$11,$C$6:$AG$6,1)+'الإعدادات'!$I$12*COUNTIFS($C10:$AG10,'الإعدادات'!$E$12,$C$6:$AG$6,1)+'الإعدادات'!$I$13*COUNTIFS($C10:$AG10,'الإعدادات'!$E$13,$C$6:$AG$6,1)+'الإعدادات'!$I$14*COUNTIFS($C10:$AG10,'الإعدادات'!$E$14,$C$6:$AG$6,1)+'الإعدادات'!$I$15*COUNTIFS($C10:$AG10,'الإعدادات'!$E$15,$C$6:$AG$6,1))</f>
        <v/>
      </c>
      <c r="AJ10" s="28">
        <f>IF($A10="","",'الإعدادات'!$I$8*COUNTIFS($C10:$AG10,'الإعدادات'!$E$8,$C$6:$AG$6,2)+'الإعدادات'!$I$9*COUNTIFS($C10:$AG10,'الإعدادات'!$E$9,$C$6:$AG$6,2)+'الإعدادات'!$I$10*COUNTIFS($C10:$AG10,'الإعدادات'!$E$10,$C$6:$AG$6,2)+'الإعدادات'!$I$11*COUNTIFS($C10:$AG10,'الإعدادات'!$E$11,$C$6:$AG$6,2)+'الإعدادات'!$I$12*COUNTIFS($C10:$AG10,'الإعدادات'!$E$12,$C$6:$AG$6,2)+'الإعدادات'!$I$13*COUNTIFS($C10:$AG10,'الإعدادات'!$E$13,$C$6:$AG$6,2)+'الإعدادات'!$I$14*COUNTIFS($C10:$AG10,'الإعدادات'!$E$14,$C$6:$AG$6,2)+'الإعدادات'!$I$15*COUNTIFS($C10:$AG10,'الإعدادات'!$E$15,$C$6:$AG$6,2))</f>
        <v/>
      </c>
      <c r="AK10" s="28">
        <f>IF($A10="","",'الإعدادات'!$I$8*COUNTIFS($C10:$AG10,'الإعدادات'!$E$8,$C$6:$AG$6,3)+'الإعدادات'!$I$9*COUNTIFS($C10:$AG10,'الإعدادات'!$E$9,$C$6:$AG$6,3)+'الإعدادات'!$I$10*COUNTIFS($C10:$AG10,'الإعدادات'!$E$10,$C$6:$AG$6,3)+'الإعدادات'!$I$11*COUNTIFS($C10:$AG10,'الإعدادات'!$E$11,$C$6:$AG$6,3)+'الإعدادات'!$I$12*COUNTIFS($C10:$AG10,'الإعدادات'!$E$12,$C$6:$AG$6,3)+'الإعدادات'!$I$13*COUNTIFS($C10:$AG10,'الإعدادات'!$E$13,$C$6:$AG$6,3)+'الإعدادات'!$I$14*COUNTIFS($C10:$AG10,'الإعدادات'!$E$14,$C$6:$AG$6,3)+'الإعدادات'!$I$15*COUNTIFS($C10:$AG10,'الإعدادات'!$E$15,$C$6:$AG$6,3))</f>
        <v/>
      </c>
      <c r="AL10" s="28">
        <f>IF($A10="","",'الإعدادات'!$I$8*COUNTIFS($C10:$AG10,'الإعدادات'!$E$8,$C$6:$AG$6,4)+'الإعدادات'!$I$9*COUNTIFS($C10:$AG10,'الإعدادات'!$E$9,$C$6:$AG$6,4)+'الإعدادات'!$I$10*COUNTIFS($C10:$AG10,'الإعدادات'!$E$10,$C$6:$AG$6,4)+'الإعدادات'!$I$11*COUNTIFS($C10:$AG10,'الإعدادات'!$E$11,$C$6:$AG$6,4)+'الإعدادات'!$I$12*COUNTIFS($C10:$AG10,'الإعدادات'!$E$12,$C$6:$AG$6,4)+'الإعدادات'!$I$13*COUNTIFS($C10:$AG10,'الإعدادات'!$E$13,$C$6:$AG$6,4)+'الإعدادات'!$I$14*COUNTIFS($C10:$AG10,'الإعدادات'!$E$14,$C$6:$AG$6,4)+'الإعدادات'!$I$15*COUNTIFS($C10:$AG10,'الإعدادات'!$E$15,$C$6:$AG$6,4))</f>
        <v/>
      </c>
      <c r="AM10" s="28">
        <f>IF($A10="","",'الإعدادات'!$I$8*COUNTIFS($C10:$AG10,'الإعدادات'!$E$8,$C$6:$AG$6,5)+'الإعدادات'!$I$9*COUNTIFS($C10:$AG10,'الإعدادات'!$E$9,$C$6:$AG$6,5)+'الإعدادات'!$I$10*COUNTIFS($C10:$AG10,'الإعدادات'!$E$10,$C$6:$AG$6,5)+'الإعدادات'!$I$11*COUNTIFS($C10:$AG10,'الإعدادات'!$E$11,$C$6:$AG$6,5)+'الإعدادات'!$I$12*COUNTIFS($C10:$AG10,'الإعدادات'!$E$12,$C$6:$AG$6,5)+'الإعدادات'!$I$13*COUNTIFS($C10:$AG10,'الإعدادات'!$E$13,$C$6:$AG$6,5)+'الإعدادات'!$I$14*COUNTIFS($C10:$AG10,'الإعدادات'!$E$14,$C$6:$AG$6,5)+'الإعدادات'!$I$15*COUNTIFS($C10:$AG10,'الإعدادات'!$E$15,$C$6:$AG$6,5))</f>
        <v/>
      </c>
      <c r="AN10" s="28">
        <f>IF($A10="","",'الإعدادات'!$I$8*COUNTIFS($C10:$AG10,'الإعدادات'!$E$8,$C$6:$AG$6,6)+'الإعدادات'!$I$9*COUNTIFS($C10:$AG10,'الإعدادات'!$E$9,$C$6:$AG$6,6)+'الإعدادات'!$I$10*COUNTIFS($C10:$AG10,'الإعدادات'!$E$10,$C$6:$AG$6,6)+'الإعدادات'!$I$11*COUNTIFS($C10:$AG10,'الإعدادات'!$E$11,$C$6:$AG$6,6)+'الإعدادات'!$I$12*COUNTIFS($C10:$AG10,'الإعدادات'!$E$12,$C$6:$AG$6,6)+'الإعدادات'!$I$13*COUNTIFS($C10:$AG10,'الإعدادات'!$E$13,$C$6:$AG$6,6)+'الإعدادات'!$I$14*COUNTIFS($C10:$AG10,'الإعدادات'!$E$14,$C$6:$AG$6,6)+'الإعدادات'!$I$15*COUNTIFS($C10:$AG10,'الإعدادات'!$E$15,$C$6:$AG$6,6))</f>
        <v/>
      </c>
      <c r="AO10" s="28">
        <f>IF($A10="","",IFERROR(INDEX(StaffLimit,MATCH($A10,Staff,0)),""))</f>
        <v/>
      </c>
      <c r="AP10" s="34">
        <f>IF($A10="","",SUM(AI10:AN10))</f>
        <v/>
      </c>
      <c r="AQ10" s="28">
        <f>IF($A10="","",COUNTIF($C10:$AG10,'الإعدادات'!$E$11))</f>
        <v/>
      </c>
      <c r="AR10" s="28">
        <f>IF($A10="","",COUNTIF($C10:$AG10,'الإعدادات'!$E$12))</f>
        <v/>
      </c>
    </row>
    <row r="11">
      <c r="A11" s="8">
        <f>IF('خطة الورديات'!A10="","",'خطة الورديات'!A10)</f>
        <v/>
      </c>
      <c r="B11" s="8">
        <f>IF(A11="","",IFERROR(INDEX(StaffRole,MATCH(A11,Staff,0)),""))</f>
        <v/>
      </c>
      <c r="C11" s="33">
        <f>IF(OR(C$3="",$A11=""),"",IF(AND(C$5=1,COUNTIFS(LvStaff,$A11,LvFrom,"&lt;="&amp;C$3,LvTo,"&gt;="&amp;C$3,LvStat,'الإعدادات'!$Q$8)&gt;0),'الإعدادات'!$E$12,IF('خطة الورديات'!C10="","",'خطة الورديات'!C10)))</f>
        <v/>
      </c>
      <c r="D11" s="33">
        <f>IF(OR(D$3="",$A11=""),"",IF(AND(D$5=1,COUNTIFS(LvStaff,$A11,LvFrom,"&lt;="&amp;D$3,LvTo,"&gt;="&amp;D$3,LvStat,'الإعدادات'!$Q$8)&gt;0),'الإعدادات'!$E$12,IF('خطة الورديات'!D10="","",'خطة الورديات'!D10)))</f>
        <v/>
      </c>
      <c r="E11" s="33">
        <f>IF(OR(E$3="",$A11=""),"",IF(AND(E$5=1,COUNTIFS(LvStaff,$A11,LvFrom,"&lt;="&amp;E$3,LvTo,"&gt;="&amp;E$3,LvStat,'الإعدادات'!$Q$8)&gt;0),'الإعدادات'!$E$12,IF('خطة الورديات'!E10="","",'خطة الورديات'!E10)))</f>
        <v/>
      </c>
      <c r="F11" s="33">
        <f>IF(OR(F$3="",$A11=""),"",IF(AND(F$5=1,COUNTIFS(LvStaff,$A11,LvFrom,"&lt;="&amp;F$3,LvTo,"&gt;="&amp;F$3,LvStat,'الإعدادات'!$Q$8)&gt;0),'الإعدادات'!$E$12,IF('خطة الورديات'!F10="","",'خطة الورديات'!F10)))</f>
        <v/>
      </c>
      <c r="G11" s="33">
        <f>IF(OR(G$3="",$A11=""),"",IF(AND(G$5=1,COUNTIFS(LvStaff,$A11,LvFrom,"&lt;="&amp;G$3,LvTo,"&gt;="&amp;G$3,LvStat,'الإعدادات'!$Q$8)&gt;0),'الإعدادات'!$E$12,IF('خطة الورديات'!G10="","",'خطة الورديات'!G10)))</f>
        <v/>
      </c>
      <c r="H11" s="33">
        <f>IF(OR(H$3="",$A11=""),"",IF(AND(H$5=1,COUNTIFS(LvStaff,$A11,LvFrom,"&lt;="&amp;H$3,LvTo,"&gt;="&amp;H$3,LvStat,'الإعدادات'!$Q$8)&gt;0),'الإعدادات'!$E$12,IF('خطة الورديات'!H10="","",'خطة الورديات'!H10)))</f>
        <v/>
      </c>
      <c r="I11" s="33">
        <f>IF(OR(I$3="",$A11=""),"",IF(AND(I$5=1,COUNTIFS(LvStaff,$A11,LvFrom,"&lt;="&amp;I$3,LvTo,"&gt;="&amp;I$3,LvStat,'الإعدادات'!$Q$8)&gt;0),'الإعدادات'!$E$12,IF('خطة الورديات'!I10="","",'خطة الورديات'!I10)))</f>
        <v/>
      </c>
      <c r="J11" s="33">
        <f>IF(OR(J$3="",$A11=""),"",IF(AND(J$5=1,COUNTIFS(LvStaff,$A11,LvFrom,"&lt;="&amp;J$3,LvTo,"&gt;="&amp;J$3,LvStat,'الإعدادات'!$Q$8)&gt;0),'الإعدادات'!$E$12,IF('خطة الورديات'!J10="","",'خطة الورديات'!J10)))</f>
        <v/>
      </c>
      <c r="K11" s="33">
        <f>IF(OR(K$3="",$A11=""),"",IF(AND(K$5=1,COUNTIFS(LvStaff,$A11,LvFrom,"&lt;="&amp;K$3,LvTo,"&gt;="&amp;K$3,LvStat,'الإعدادات'!$Q$8)&gt;0),'الإعدادات'!$E$12,IF('خطة الورديات'!K10="","",'خطة الورديات'!K10)))</f>
        <v/>
      </c>
      <c r="L11" s="33">
        <f>IF(OR(L$3="",$A11=""),"",IF(AND(L$5=1,COUNTIFS(LvStaff,$A11,LvFrom,"&lt;="&amp;L$3,LvTo,"&gt;="&amp;L$3,LvStat,'الإعدادات'!$Q$8)&gt;0),'الإعدادات'!$E$12,IF('خطة الورديات'!L10="","",'خطة الورديات'!L10)))</f>
        <v/>
      </c>
      <c r="M11" s="33">
        <f>IF(OR(M$3="",$A11=""),"",IF(AND(M$5=1,COUNTIFS(LvStaff,$A11,LvFrom,"&lt;="&amp;M$3,LvTo,"&gt;="&amp;M$3,LvStat,'الإعدادات'!$Q$8)&gt;0),'الإعدادات'!$E$12,IF('خطة الورديات'!M10="","",'خطة الورديات'!M10)))</f>
        <v/>
      </c>
      <c r="N11" s="33">
        <f>IF(OR(N$3="",$A11=""),"",IF(AND(N$5=1,COUNTIFS(LvStaff,$A11,LvFrom,"&lt;="&amp;N$3,LvTo,"&gt;="&amp;N$3,LvStat,'الإعدادات'!$Q$8)&gt;0),'الإعدادات'!$E$12,IF('خطة الورديات'!N10="","",'خطة الورديات'!N10)))</f>
        <v/>
      </c>
      <c r="O11" s="33">
        <f>IF(OR(O$3="",$A11=""),"",IF(AND(O$5=1,COUNTIFS(LvStaff,$A11,LvFrom,"&lt;="&amp;O$3,LvTo,"&gt;="&amp;O$3,LvStat,'الإعدادات'!$Q$8)&gt;0),'الإعدادات'!$E$12,IF('خطة الورديات'!O10="","",'خطة الورديات'!O10)))</f>
        <v/>
      </c>
      <c r="P11" s="33">
        <f>IF(OR(P$3="",$A11=""),"",IF(AND(P$5=1,COUNTIFS(LvStaff,$A11,LvFrom,"&lt;="&amp;P$3,LvTo,"&gt;="&amp;P$3,LvStat,'الإعدادات'!$Q$8)&gt;0),'الإعدادات'!$E$12,IF('خطة الورديات'!P10="","",'خطة الورديات'!P10)))</f>
        <v/>
      </c>
      <c r="Q11" s="33">
        <f>IF(OR(Q$3="",$A11=""),"",IF(AND(Q$5=1,COUNTIFS(LvStaff,$A11,LvFrom,"&lt;="&amp;Q$3,LvTo,"&gt;="&amp;Q$3,LvStat,'الإعدادات'!$Q$8)&gt;0),'الإعدادات'!$E$12,IF('خطة الورديات'!Q10="","",'خطة الورديات'!Q10)))</f>
        <v/>
      </c>
      <c r="R11" s="33">
        <f>IF(OR(R$3="",$A11=""),"",IF(AND(R$5=1,COUNTIFS(LvStaff,$A11,LvFrom,"&lt;="&amp;R$3,LvTo,"&gt;="&amp;R$3,LvStat,'الإعدادات'!$Q$8)&gt;0),'الإعدادات'!$E$12,IF('خطة الورديات'!R10="","",'خطة الورديات'!R10)))</f>
        <v/>
      </c>
      <c r="S11" s="33">
        <f>IF(OR(S$3="",$A11=""),"",IF(AND(S$5=1,COUNTIFS(LvStaff,$A11,LvFrom,"&lt;="&amp;S$3,LvTo,"&gt;="&amp;S$3,LvStat,'الإعدادات'!$Q$8)&gt;0),'الإعدادات'!$E$12,IF('خطة الورديات'!S10="","",'خطة الورديات'!S10)))</f>
        <v/>
      </c>
      <c r="T11" s="33">
        <f>IF(OR(T$3="",$A11=""),"",IF(AND(T$5=1,COUNTIFS(LvStaff,$A11,LvFrom,"&lt;="&amp;T$3,LvTo,"&gt;="&amp;T$3,LvStat,'الإعدادات'!$Q$8)&gt;0),'الإعدادات'!$E$12,IF('خطة الورديات'!T10="","",'خطة الورديات'!T10)))</f>
        <v/>
      </c>
      <c r="U11" s="33">
        <f>IF(OR(U$3="",$A11=""),"",IF(AND(U$5=1,COUNTIFS(LvStaff,$A11,LvFrom,"&lt;="&amp;U$3,LvTo,"&gt;="&amp;U$3,LvStat,'الإعدادات'!$Q$8)&gt;0),'الإعدادات'!$E$12,IF('خطة الورديات'!U10="","",'خطة الورديات'!U10)))</f>
        <v/>
      </c>
      <c r="V11" s="33">
        <f>IF(OR(V$3="",$A11=""),"",IF(AND(V$5=1,COUNTIFS(LvStaff,$A11,LvFrom,"&lt;="&amp;V$3,LvTo,"&gt;="&amp;V$3,LvStat,'الإعدادات'!$Q$8)&gt;0),'الإعدادات'!$E$12,IF('خطة الورديات'!V10="","",'خطة الورديات'!V10)))</f>
        <v/>
      </c>
      <c r="W11" s="33">
        <f>IF(OR(W$3="",$A11=""),"",IF(AND(W$5=1,COUNTIFS(LvStaff,$A11,LvFrom,"&lt;="&amp;W$3,LvTo,"&gt;="&amp;W$3,LvStat,'الإعدادات'!$Q$8)&gt;0),'الإعدادات'!$E$12,IF('خطة الورديات'!W10="","",'خطة الورديات'!W10)))</f>
        <v/>
      </c>
      <c r="X11" s="33">
        <f>IF(OR(X$3="",$A11=""),"",IF(AND(X$5=1,COUNTIFS(LvStaff,$A11,LvFrom,"&lt;="&amp;X$3,LvTo,"&gt;="&amp;X$3,LvStat,'الإعدادات'!$Q$8)&gt;0),'الإعدادات'!$E$12,IF('خطة الورديات'!X10="","",'خطة الورديات'!X10)))</f>
        <v/>
      </c>
      <c r="Y11" s="33">
        <f>IF(OR(Y$3="",$A11=""),"",IF(AND(Y$5=1,COUNTIFS(LvStaff,$A11,LvFrom,"&lt;="&amp;Y$3,LvTo,"&gt;="&amp;Y$3,LvStat,'الإعدادات'!$Q$8)&gt;0),'الإعدادات'!$E$12,IF('خطة الورديات'!Y10="","",'خطة الورديات'!Y10)))</f>
        <v/>
      </c>
      <c r="Z11" s="33">
        <f>IF(OR(Z$3="",$A11=""),"",IF(AND(Z$5=1,COUNTIFS(LvStaff,$A11,LvFrom,"&lt;="&amp;Z$3,LvTo,"&gt;="&amp;Z$3,LvStat,'الإعدادات'!$Q$8)&gt;0),'الإعدادات'!$E$12,IF('خطة الورديات'!Z10="","",'خطة الورديات'!Z10)))</f>
        <v/>
      </c>
      <c r="AA11" s="33">
        <f>IF(OR(AA$3="",$A11=""),"",IF(AND(AA$5=1,COUNTIFS(LvStaff,$A11,LvFrom,"&lt;="&amp;AA$3,LvTo,"&gt;="&amp;AA$3,LvStat,'الإعدادات'!$Q$8)&gt;0),'الإعدادات'!$E$12,IF('خطة الورديات'!AA10="","",'خطة الورديات'!AA10)))</f>
        <v/>
      </c>
      <c r="AB11" s="33">
        <f>IF(OR(AB$3="",$A11=""),"",IF(AND(AB$5=1,COUNTIFS(LvStaff,$A11,LvFrom,"&lt;="&amp;AB$3,LvTo,"&gt;="&amp;AB$3,LvStat,'الإعدادات'!$Q$8)&gt;0),'الإعدادات'!$E$12,IF('خطة الورديات'!AB10="","",'خطة الورديات'!AB10)))</f>
        <v/>
      </c>
      <c r="AC11" s="33">
        <f>IF(OR(AC$3="",$A11=""),"",IF(AND(AC$5=1,COUNTIFS(LvStaff,$A11,LvFrom,"&lt;="&amp;AC$3,LvTo,"&gt;="&amp;AC$3,LvStat,'الإعدادات'!$Q$8)&gt;0),'الإعدادات'!$E$12,IF('خطة الورديات'!AC10="","",'خطة الورديات'!AC10)))</f>
        <v/>
      </c>
      <c r="AD11" s="33">
        <f>IF(OR(AD$3="",$A11=""),"",IF(AND(AD$5=1,COUNTIFS(LvStaff,$A11,LvFrom,"&lt;="&amp;AD$3,LvTo,"&gt;="&amp;AD$3,LvStat,'الإعدادات'!$Q$8)&gt;0),'الإعدادات'!$E$12,IF('خطة الورديات'!AD10="","",'خطة الورديات'!AD10)))</f>
        <v/>
      </c>
      <c r="AE11" s="33">
        <f>IF(OR(AE$3="",$A11=""),"",IF(AND(AE$5=1,COUNTIFS(LvStaff,$A11,LvFrom,"&lt;="&amp;AE$3,LvTo,"&gt;="&amp;AE$3,LvStat,'الإعدادات'!$Q$8)&gt;0),'الإعدادات'!$E$12,IF('خطة الورديات'!AE10="","",'خطة الورديات'!AE10)))</f>
        <v/>
      </c>
      <c r="AF11" s="33">
        <f>IF(OR(AF$3="",$A11=""),"",IF(AND(AF$5=1,COUNTIFS(LvStaff,$A11,LvFrom,"&lt;="&amp;AF$3,LvTo,"&gt;="&amp;AF$3,LvStat,'الإعدادات'!$Q$8)&gt;0),'الإعدادات'!$E$12,IF('خطة الورديات'!AF10="","",'خطة الورديات'!AF10)))</f>
        <v/>
      </c>
      <c r="AG11" s="33">
        <f>IF(OR(AG$3="",$A11=""),"",IF(AND(AG$5=1,COUNTIFS(LvStaff,$A11,LvFrom,"&lt;="&amp;AG$3,LvTo,"&gt;="&amp;AG$3,LvStat,'الإعدادات'!$Q$8)&gt;0),'الإعدادات'!$E$12,IF('خطة الورديات'!AG10="","",'خطة الورديات'!AG10)))</f>
        <v/>
      </c>
      <c r="AI11" s="28">
        <f>IF($A11="","",'الإعدادات'!$I$8*COUNTIFS($C11:$AG11,'الإعدادات'!$E$8,$C$6:$AG$6,1)+'الإعدادات'!$I$9*COUNTIFS($C11:$AG11,'الإعدادات'!$E$9,$C$6:$AG$6,1)+'الإعدادات'!$I$10*COUNTIFS($C11:$AG11,'الإعدادات'!$E$10,$C$6:$AG$6,1)+'الإعدادات'!$I$11*COUNTIFS($C11:$AG11,'الإعدادات'!$E$11,$C$6:$AG$6,1)+'الإعدادات'!$I$12*COUNTIFS($C11:$AG11,'الإعدادات'!$E$12,$C$6:$AG$6,1)+'الإعدادات'!$I$13*COUNTIFS($C11:$AG11,'الإعدادات'!$E$13,$C$6:$AG$6,1)+'الإعدادات'!$I$14*COUNTIFS($C11:$AG11,'الإعدادات'!$E$14,$C$6:$AG$6,1)+'الإعدادات'!$I$15*COUNTIFS($C11:$AG11,'الإعدادات'!$E$15,$C$6:$AG$6,1))</f>
        <v/>
      </c>
      <c r="AJ11" s="28">
        <f>IF($A11="","",'الإعدادات'!$I$8*COUNTIFS($C11:$AG11,'الإعدادات'!$E$8,$C$6:$AG$6,2)+'الإعدادات'!$I$9*COUNTIFS($C11:$AG11,'الإعدادات'!$E$9,$C$6:$AG$6,2)+'الإعدادات'!$I$10*COUNTIFS($C11:$AG11,'الإعدادات'!$E$10,$C$6:$AG$6,2)+'الإعدادات'!$I$11*COUNTIFS($C11:$AG11,'الإعدادات'!$E$11,$C$6:$AG$6,2)+'الإعدادات'!$I$12*COUNTIFS($C11:$AG11,'الإعدادات'!$E$12,$C$6:$AG$6,2)+'الإعدادات'!$I$13*COUNTIFS($C11:$AG11,'الإعدادات'!$E$13,$C$6:$AG$6,2)+'الإعدادات'!$I$14*COUNTIFS($C11:$AG11,'الإعدادات'!$E$14,$C$6:$AG$6,2)+'الإعدادات'!$I$15*COUNTIFS($C11:$AG11,'الإعدادات'!$E$15,$C$6:$AG$6,2))</f>
        <v/>
      </c>
      <c r="AK11" s="28">
        <f>IF($A11="","",'الإعدادات'!$I$8*COUNTIFS($C11:$AG11,'الإعدادات'!$E$8,$C$6:$AG$6,3)+'الإعدادات'!$I$9*COUNTIFS($C11:$AG11,'الإعدادات'!$E$9,$C$6:$AG$6,3)+'الإعدادات'!$I$10*COUNTIFS($C11:$AG11,'الإعدادات'!$E$10,$C$6:$AG$6,3)+'الإعدادات'!$I$11*COUNTIFS($C11:$AG11,'الإعدادات'!$E$11,$C$6:$AG$6,3)+'الإعدادات'!$I$12*COUNTIFS($C11:$AG11,'الإعدادات'!$E$12,$C$6:$AG$6,3)+'الإعدادات'!$I$13*COUNTIFS($C11:$AG11,'الإعدادات'!$E$13,$C$6:$AG$6,3)+'الإعدادات'!$I$14*COUNTIFS($C11:$AG11,'الإعدادات'!$E$14,$C$6:$AG$6,3)+'الإعدادات'!$I$15*COUNTIFS($C11:$AG11,'الإعدادات'!$E$15,$C$6:$AG$6,3))</f>
        <v/>
      </c>
      <c r="AL11" s="28">
        <f>IF($A11="","",'الإعدادات'!$I$8*COUNTIFS($C11:$AG11,'الإعدادات'!$E$8,$C$6:$AG$6,4)+'الإعدادات'!$I$9*COUNTIFS($C11:$AG11,'الإعدادات'!$E$9,$C$6:$AG$6,4)+'الإعدادات'!$I$10*COUNTIFS($C11:$AG11,'الإعدادات'!$E$10,$C$6:$AG$6,4)+'الإعدادات'!$I$11*COUNTIFS($C11:$AG11,'الإعدادات'!$E$11,$C$6:$AG$6,4)+'الإعدادات'!$I$12*COUNTIFS($C11:$AG11,'الإعدادات'!$E$12,$C$6:$AG$6,4)+'الإعدادات'!$I$13*COUNTIFS($C11:$AG11,'الإعدادات'!$E$13,$C$6:$AG$6,4)+'الإعدادات'!$I$14*COUNTIFS($C11:$AG11,'الإعدادات'!$E$14,$C$6:$AG$6,4)+'الإعدادات'!$I$15*COUNTIFS($C11:$AG11,'الإعدادات'!$E$15,$C$6:$AG$6,4))</f>
        <v/>
      </c>
      <c r="AM11" s="28">
        <f>IF($A11="","",'الإعدادات'!$I$8*COUNTIFS($C11:$AG11,'الإعدادات'!$E$8,$C$6:$AG$6,5)+'الإعدادات'!$I$9*COUNTIFS($C11:$AG11,'الإعدادات'!$E$9,$C$6:$AG$6,5)+'الإعدادات'!$I$10*COUNTIFS($C11:$AG11,'الإعدادات'!$E$10,$C$6:$AG$6,5)+'الإعدادات'!$I$11*COUNTIFS($C11:$AG11,'الإعدادات'!$E$11,$C$6:$AG$6,5)+'الإعدادات'!$I$12*COUNTIFS($C11:$AG11,'الإعدادات'!$E$12,$C$6:$AG$6,5)+'الإعدادات'!$I$13*COUNTIFS($C11:$AG11,'الإعدادات'!$E$13,$C$6:$AG$6,5)+'الإعدادات'!$I$14*COUNTIFS($C11:$AG11,'الإعدادات'!$E$14,$C$6:$AG$6,5)+'الإعدادات'!$I$15*COUNTIFS($C11:$AG11,'الإعدادات'!$E$15,$C$6:$AG$6,5))</f>
        <v/>
      </c>
      <c r="AN11" s="28">
        <f>IF($A11="","",'الإعدادات'!$I$8*COUNTIFS($C11:$AG11,'الإعدادات'!$E$8,$C$6:$AG$6,6)+'الإعدادات'!$I$9*COUNTIFS($C11:$AG11,'الإعدادات'!$E$9,$C$6:$AG$6,6)+'الإعدادات'!$I$10*COUNTIFS($C11:$AG11,'الإعدادات'!$E$10,$C$6:$AG$6,6)+'الإعدادات'!$I$11*COUNTIFS($C11:$AG11,'الإعدادات'!$E$11,$C$6:$AG$6,6)+'الإعدادات'!$I$12*COUNTIFS($C11:$AG11,'الإعدادات'!$E$12,$C$6:$AG$6,6)+'الإعدادات'!$I$13*COUNTIFS($C11:$AG11,'الإعدادات'!$E$13,$C$6:$AG$6,6)+'الإعدادات'!$I$14*COUNTIFS($C11:$AG11,'الإعدادات'!$E$14,$C$6:$AG$6,6)+'الإعدادات'!$I$15*COUNTIFS($C11:$AG11,'الإعدادات'!$E$15,$C$6:$AG$6,6))</f>
        <v/>
      </c>
      <c r="AO11" s="28">
        <f>IF($A11="","",IFERROR(INDEX(StaffLimit,MATCH($A11,Staff,0)),""))</f>
        <v/>
      </c>
      <c r="AP11" s="34">
        <f>IF($A11="","",SUM(AI11:AN11))</f>
        <v/>
      </c>
      <c r="AQ11" s="28">
        <f>IF($A11="","",COUNTIF($C11:$AG11,'الإعدادات'!$E$11))</f>
        <v/>
      </c>
      <c r="AR11" s="28">
        <f>IF($A11="","",COUNTIF($C11:$AG11,'الإعدادات'!$E$12))</f>
        <v/>
      </c>
    </row>
    <row r="12">
      <c r="A12" s="8">
        <f>IF('خطة الورديات'!A11="","",'خطة الورديات'!A11)</f>
        <v/>
      </c>
      <c r="B12" s="8">
        <f>IF(A12="","",IFERROR(INDEX(StaffRole,MATCH(A12,Staff,0)),""))</f>
        <v/>
      </c>
      <c r="C12" s="33">
        <f>IF(OR(C$3="",$A12=""),"",IF(AND(C$5=1,COUNTIFS(LvStaff,$A12,LvFrom,"&lt;="&amp;C$3,LvTo,"&gt;="&amp;C$3,LvStat,'الإعدادات'!$Q$8)&gt;0),'الإعدادات'!$E$12,IF('خطة الورديات'!C11="","",'خطة الورديات'!C11)))</f>
        <v/>
      </c>
      <c r="D12" s="33">
        <f>IF(OR(D$3="",$A12=""),"",IF(AND(D$5=1,COUNTIFS(LvStaff,$A12,LvFrom,"&lt;="&amp;D$3,LvTo,"&gt;="&amp;D$3,LvStat,'الإعدادات'!$Q$8)&gt;0),'الإعدادات'!$E$12,IF('خطة الورديات'!D11="","",'خطة الورديات'!D11)))</f>
        <v/>
      </c>
      <c r="E12" s="33">
        <f>IF(OR(E$3="",$A12=""),"",IF(AND(E$5=1,COUNTIFS(LvStaff,$A12,LvFrom,"&lt;="&amp;E$3,LvTo,"&gt;="&amp;E$3,LvStat,'الإعدادات'!$Q$8)&gt;0),'الإعدادات'!$E$12,IF('خطة الورديات'!E11="","",'خطة الورديات'!E11)))</f>
        <v/>
      </c>
      <c r="F12" s="33">
        <f>IF(OR(F$3="",$A12=""),"",IF(AND(F$5=1,COUNTIFS(LvStaff,$A12,LvFrom,"&lt;="&amp;F$3,LvTo,"&gt;="&amp;F$3,LvStat,'الإعدادات'!$Q$8)&gt;0),'الإعدادات'!$E$12,IF('خطة الورديات'!F11="","",'خطة الورديات'!F11)))</f>
        <v/>
      </c>
      <c r="G12" s="33">
        <f>IF(OR(G$3="",$A12=""),"",IF(AND(G$5=1,COUNTIFS(LvStaff,$A12,LvFrom,"&lt;="&amp;G$3,LvTo,"&gt;="&amp;G$3,LvStat,'الإعدادات'!$Q$8)&gt;0),'الإعدادات'!$E$12,IF('خطة الورديات'!G11="","",'خطة الورديات'!G11)))</f>
        <v/>
      </c>
      <c r="H12" s="33">
        <f>IF(OR(H$3="",$A12=""),"",IF(AND(H$5=1,COUNTIFS(LvStaff,$A12,LvFrom,"&lt;="&amp;H$3,LvTo,"&gt;="&amp;H$3,LvStat,'الإعدادات'!$Q$8)&gt;0),'الإعدادات'!$E$12,IF('خطة الورديات'!H11="","",'خطة الورديات'!H11)))</f>
        <v/>
      </c>
      <c r="I12" s="33">
        <f>IF(OR(I$3="",$A12=""),"",IF(AND(I$5=1,COUNTIFS(LvStaff,$A12,LvFrom,"&lt;="&amp;I$3,LvTo,"&gt;="&amp;I$3,LvStat,'الإعدادات'!$Q$8)&gt;0),'الإعدادات'!$E$12,IF('خطة الورديات'!I11="","",'خطة الورديات'!I11)))</f>
        <v/>
      </c>
      <c r="J12" s="33">
        <f>IF(OR(J$3="",$A12=""),"",IF(AND(J$5=1,COUNTIFS(LvStaff,$A12,LvFrom,"&lt;="&amp;J$3,LvTo,"&gt;="&amp;J$3,LvStat,'الإعدادات'!$Q$8)&gt;0),'الإعدادات'!$E$12,IF('خطة الورديات'!J11="","",'خطة الورديات'!J11)))</f>
        <v/>
      </c>
      <c r="K12" s="33">
        <f>IF(OR(K$3="",$A12=""),"",IF(AND(K$5=1,COUNTIFS(LvStaff,$A12,LvFrom,"&lt;="&amp;K$3,LvTo,"&gt;="&amp;K$3,LvStat,'الإعدادات'!$Q$8)&gt;0),'الإعدادات'!$E$12,IF('خطة الورديات'!K11="","",'خطة الورديات'!K11)))</f>
        <v/>
      </c>
      <c r="L12" s="33">
        <f>IF(OR(L$3="",$A12=""),"",IF(AND(L$5=1,COUNTIFS(LvStaff,$A12,LvFrom,"&lt;="&amp;L$3,LvTo,"&gt;="&amp;L$3,LvStat,'الإعدادات'!$Q$8)&gt;0),'الإعدادات'!$E$12,IF('خطة الورديات'!L11="","",'خطة الورديات'!L11)))</f>
        <v/>
      </c>
      <c r="M12" s="33">
        <f>IF(OR(M$3="",$A12=""),"",IF(AND(M$5=1,COUNTIFS(LvStaff,$A12,LvFrom,"&lt;="&amp;M$3,LvTo,"&gt;="&amp;M$3,LvStat,'الإعدادات'!$Q$8)&gt;0),'الإعدادات'!$E$12,IF('خطة الورديات'!M11="","",'خطة الورديات'!M11)))</f>
        <v/>
      </c>
      <c r="N12" s="33">
        <f>IF(OR(N$3="",$A12=""),"",IF(AND(N$5=1,COUNTIFS(LvStaff,$A12,LvFrom,"&lt;="&amp;N$3,LvTo,"&gt;="&amp;N$3,LvStat,'الإعدادات'!$Q$8)&gt;0),'الإعدادات'!$E$12,IF('خطة الورديات'!N11="","",'خطة الورديات'!N11)))</f>
        <v/>
      </c>
      <c r="O12" s="33">
        <f>IF(OR(O$3="",$A12=""),"",IF(AND(O$5=1,COUNTIFS(LvStaff,$A12,LvFrom,"&lt;="&amp;O$3,LvTo,"&gt;="&amp;O$3,LvStat,'الإعدادات'!$Q$8)&gt;0),'الإعدادات'!$E$12,IF('خطة الورديات'!O11="","",'خطة الورديات'!O11)))</f>
        <v/>
      </c>
      <c r="P12" s="33">
        <f>IF(OR(P$3="",$A12=""),"",IF(AND(P$5=1,COUNTIFS(LvStaff,$A12,LvFrom,"&lt;="&amp;P$3,LvTo,"&gt;="&amp;P$3,LvStat,'الإعدادات'!$Q$8)&gt;0),'الإعدادات'!$E$12,IF('خطة الورديات'!P11="","",'خطة الورديات'!P11)))</f>
        <v/>
      </c>
      <c r="Q12" s="33">
        <f>IF(OR(Q$3="",$A12=""),"",IF(AND(Q$5=1,COUNTIFS(LvStaff,$A12,LvFrom,"&lt;="&amp;Q$3,LvTo,"&gt;="&amp;Q$3,LvStat,'الإعدادات'!$Q$8)&gt;0),'الإعدادات'!$E$12,IF('خطة الورديات'!Q11="","",'خطة الورديات'!Q11)))</f>
        <v/>
      </c>
      <c r="R12" s="33">
        <f>IF(OR(R$3="",$A12=""),"",IF(AND(R$5=1,COUNTIFS(LvStaff,$A12,LvFrom,"&lt;="&amp;R$3,LvTo,"&gt;="&amp;R$3,LvStat,'الإعدادات'!$Q$8)&gt;0),'الإعدادات'!$E$12,IF('خطة الورديات'!R11="","",'خطة الورديات'!R11)))</f>
        <v/>
      </c>
      <c r="S12" s="33">
        <f>IF(OR(S$3="",$A12=""),"",IF(AND(S$5=1,COUNTIFS(LvStaff,$A12,LvFrom,"&lt;="&amp;S$3,LvTo,"&gt;="&amp;S$3,LvStat,'الإعدادات'!$Q$8)&gt;0),'الإعدادات'!$E$12,IF('خطة الورديات'!S11="","",'خطة الورديات'!S11)))</f>
        <v/>
      </c>
      <c r="T12" s="33">
        <f>IF(OR(T$3="",$A12=""),"",IF(AND(T$5=1,COUNTIFS(LvStaff,$A12,LvFrom,"&lt;="&amp;T$3,LvTo,"&gt;="&amp;T$3,LvStat,'الإعدادات'!$Q$8)&gt;0),'الإعدادات'!$E$12,IF('خطة الورديات'!T11="","",'خطة الورديات'!T11)))</f>
        <v/>
      </c>
      <c r="U12" s="33">
        <f>IF(OR(U$3="",$A12=""),"",IF(AND(U$5=1,COUNTIFS(LvStaff,$A12,LvFrom,"&lt;="&amp;U$3,LvTo,"&gt;="&amp;U$3,LvStat,'الإعدادات'!$Q$8)&gt;0),'الإعدادات'!$E$12,IF('خطة الورديات'!U11="","",'خطة الورديات'!U11)))</f>
        <v/>
      </c>
      <c r="V12" s="33">
        <f>IF(OR(V$3="",$A12=""),"",IF(AND(V$5=1,COUNTIFS(LvStaff,$A12,LvFrom,"&lt;="&amp;V$3,LvTo,"&gt;="&amp;V$3,LvStat,'الإعدادات'!$Q$8)&gt;0),'الإعدادات'!$E$12,IF('خطة الورديات'!V11="","",'خطة الورديات'!V11)))</f>
        <v/>
      </c>
      <c r="W12" s="33">
        <f>IF(OR(W$3="",$A12=""),"",IF(AND(W$5=1,COUNTIFS(LvStaff,$A12,LvFrom,"&lt;="&amp;W$3,LvTo,"&gt;="&amp;W$3,LvStat,'الإعدادات'!$Q$8)&gt;0),'الإعدادات'!$E$12,IF('خطة الورديات'!W11="","",'خطة الورديات'!W11)))</f>
        <v/>
      </c>
      <c r="X12" s="33">
        <f>IF(OR(X$3="",$A12=""),"",IF(AND(X$5=1,COUNTIFS(LvStaff,$A12,LvFrom,"&lt;="&amp;X$3,LvTo,"&gt;="&amp;X$3,LvStat,'الإعدادات'!$Q$8)&gt;0),'الإعدادات'!$E$12,IF('خطة الورديات'!X11="","",'خطة الورديات'!X11)))</f>
        <v/>
      </c>
      <c r="Y12" s="33">
        <f>IF(OR(Y$3="",$A12=""),"",IF(AND(Y$5=1,COUNTIFS(LvStaff,$A12,LvFrom,"&lt;="&amp;Y$3,LvTo,"&gt;="&amp;Y$3,LvStat,'الإعدادات'!$Q$8)&gt;0),'الإعدادات'!$E$12,IF('خطة الورديات'!Y11="","",'خطة الورديات'!Y11)))</f>
        <v/>
      </c>
      <c r="Z12" s="33">
        <f>IF(OR(Z$3="",$A12=""),"",IF(AND(Z$5=1,COUNTIFS(LvStaff,$A12,LvFrom,"&lt;="&amp;Z$3,LvTo,"&gt;="&amp;Z$3,LvStat,'الإعدادات'!$Q$8)&gt;0),'الإعدادات'!$E$12,IF('خطة الورديات'!Z11="","",'خطة الورديات'!Z11)))</f>
        <v/>
      </c>
      <c r="AA12" s="33">
        <f>IF(OR(AA$3="",$A12=""),"",IF(AND(AA$5=1,COUNTIFS(LvStaff,$A12,LvFrom,"&lt;="&amp;AA$3,LvTo,"&gt;="&amp;AA$3,LvStat,'الإعدادات'!$Q$8)&gt;0),'الإعدادات'!$E$12,IF('خطة الورديات'!AA11="","",'خطة الورديات'!AA11)))</f>
        <v/>
      </c>
      <c r="AB12" s="33">
        <f>IF(OR(AB$3="",$A12=""),"",IF(AND(AB$5=1,COUNTIFS(LvStaff,$A12,LvFrom,"&lt;="&amp;AB$3,LvTo,"&gt;="&amp;AB$3,LvStat,'الإعدادات'!$Q$8)&gt;0),'الإعدادات'!$E$12,IF('خطة الورديات'!AB11="","",'خطة الورديات'!AB11)))</f>
        <v/>
      </c>
      <c r="AC12" s="33">
        <f>IF(OR(AC$3="",$A12=""),"",IF(AND(AC$5=1,COUNTIFS(LvStaff,$A12,LvFrom,"&lt;="&amp;AC$3,LvTo,"&gt;="&amp;AC$3,LvStat,'الإعدادات'!$Q$8)&gt;0),'الإعدادات'!$E$12,IF('خطة الورديات'!AC11="","",'خطة الورديات'!AC11)))</f>
        <v/>
      </c>
      <c r="AD12" s="33">
        <f>IF(OR(AD$3="",$A12=""),"",IF(AND(AD$5=1,COUNTIFS(LvStaff,$A12,LvFrom,"&lt;="&amp;AD$3,LvTo,"&gt;="&amp;AD$3,LvStat,'الإعدادات'!$Q$8)&gt;0),'الإعدادات'!$E$12,IF('خطة الورديات'!AD11="","",'خطة الورديات'!AD11)))</f>
        <v/>
      </c>
      <c r="AE12" s="33">
        <f>IF(OR(AE$3="",$A12=""),"",IF(AND(AE$5=1,COUNTIFS(LvStaff,$A12,LvFrom,"&lt;="&amp;AE$3,LvTo,"&gt;="&amp;AE$3,LvStat,'الإعدادات'!$Q$8)&gt;0),'الإعدادات'!$E$12,IF('خطة الورديات'!AE11="","",'خطة الورديات'!AE11)))</f>
        <v/>
      </c>
      <c r="AF12" s="33">
        <f>IF(OR(AF$3="",$A12=""),"",IF(AND(AF$5=1,COUNTIFS(LvStaff,$A12,LvFrom,"&lt;="&amp;AF$3,LvTo,"&gt;="&amp;AF$3,LvStat,'الإعدادات'!$Q$8)&gt;0),'الإعدادات'!$E$12,IF('خطة الورديات'!AF11="","",'خطة الورديات'!AF11)))</f>
        <v/>
      </c>
      <c r="AG12" s="33">
        <f>IF(OR(AG$3="",$A12=""),"",IF(AND(AG$5=1,COUNTIFS(LvStaff,$A12,LvFrom,"&lt;="&amp;AG$3,LvTo,"&gt;="&amp;AG$3,LvStat,'الإعدادات'!$Q$8)&gt;0),'الإعدادات'!$E$12,IF('خطة الورديات'!AG11="","",'خطة الورديات'!AG11)))</f>
        <v/>
      </c>
      <c r="AI12" s="28">
        <f>IF($A12="","",'الإعدادات'!$I$8*COUNTIFS($C12:$AG12,'الإعدادات'!$E$8,$C$6:$AG$6,1)+'الإعدادات'!$I$9*COUNTIFS($C12:$AG12,'الإعدادات'!$E$9,$C$6:$AG$6,1)+'الإعدادات'!$I$10*COUNTIFS($C12:$AG12,'الإعدادات'!$E$10,$C$6:$AG$6,1)+'الإعدادات'!$I$11*COUNTIFS($C12:$AG12,'الإعدادات'!$E$11,$C$6:$AG$6,1)+'الإعدادات'!$I$12*COUNTIFS($C12:$AG12,'الإعدادات'!$E$12,$C$6:$AG$6,1)+'الإعدادات'!$I$13*COUNTIFS($C12:$AG12,'الإعدادات'!$E$13,$C$6:$AG$6,1)+'الإعدادات'!$I$14*COUNTIFS($C12:$AG12,'الإعدادات'!$E$14,$C$6:$AG$6,1)+'الإعدادات'!$I$15*COUNTIFS($C12:$AG12,'الإعدادات'!$E$15,$C$6:$AG$6,1))</f>
        <v/>
      </c>
      <c r="AJ12" s="28">
        <f>IF($A12="","",'الإعدادات'!$I$8*COUNTIFS($C12:$AG12,'الإعدادات'!$E$8,$C$6:$AG$6,2)+'الإعدادات'!$I$9*COUNTIFS($C12:$AG12,'الإعدادات'!$E$9,$C$6:$AG$6,2)+'الإعدادات'!$I$10*COUNTIFS($C12:$AG12,'الإعدادات'!$E$10,$C$6:$AG$6,2)+'الإعدادات'!$I$11*COUNTIFS($C12:$AG12,'الإعدادات'!$E$11,$C$6:$AG$6,2)+'الإعدادات'!$I$12*COUNTIFS($C12:$AG12,'الإعدادات'!$E$12,$C$6:$AG$6,2)+'الإعدادات'!$I$13*COUNTIFS($C12:$AG12,'الإعدادات'!$E$13,$C$6:$AG$6,2)+'الإعدادات'!$I$14*COUNTIFS($C12:$AG12,'الإعدادات'!$E$14,$C$6:$AG$6,2)+'الإعدادات'!$I$15*COUNTIFS($C12:$AG12,'الإعدادات'!$E$15,$C$6:$AG$6,2))</f>
        <v/>
      </c>
      <c r="AK12" s="28">
        <f>IF($A12="","",'الإعدادات'!$I$8*COUNTIFS($C12:$AG12,'الإعدادات'!$E$8,$C$6:$AG$6,3)+'الإعدادات'!$I$9*COUNTIFS($C12:$AG12,'الإعدادات'!$E$9,$C$6:$AG$6,3)+'الإعدادات'!$I$10*COUNTIFS($C12:$AG12,'الإعدادات'!$E$10,$C$6:$AG$6,3)+'الإعدادات'!$I$11*COUNTIFS($C12:$AG12,'الإعدادات'!$E$11,$C$6:$AG$6,3)+'الإعدادات'!$I$12*COUNTIFS($C12:$AG12,'الإعدادات'!$E$12,$C$6:$AG$6,3)+'الإعدادات'!$I$13*COUNTIFS($C12:$AG12,'الإعدادات'!$E$13,$C$6:$AG$6,3)+'الإعدادات'!$I$14*COUNTIFS($C12:$AG12,'الإعدادات'!$E$14,$C$6:$AG$6,3)+'الإعدادات'!$I$15*COUNTIFS($C12:$AG12,'الإعدادات'!$E$15,$C$6:$AG$6,3))</f>
        <v/>
      </c>
      <c r="AL12" s="28">
        <f>IF($A12="","",'الإعدادات'!$I$8*COUNTIFS($C12:$AG12,'الإعدادات'!$E$8,$C$6:$AG$6,4)+'الإعدادات'!$I$9*COUNTIFS($C12:$AG12,'الإعدادات'!$E$9,$C$6:$AG$6,4)+'الإعدادات'!$I$10*COUNTIFS($C12:$AG12,'الإعدادات'!$E$10,$C$6:$AG$6,4)+'الإعدادات'!$I$11*COUNTIFS($C12:$AG12,'الإعدادات'!$E$11,$C$6:$AG$6,4)+'الإعدادات'!$I$12*COUNTIFS($C12:$AG12,'الإعدادات'!$E$12,$C$6:$AG$6,4)+'الإعدادات'!$I$13*COUNTIFS($C12:$AG12,'الإعدادات'!$E$13,$C$6:$AG$6,4)+'الإعدادات'!$I$14*COUNTIFS($C12:$AG12,'الإعدادات'!$E$14,$C$6:$AG$6,4)+'الإعدادات'!$I$15*COUNTIFS($C12:$AG12,'الإعدادات'!$E$15,$C$6:$AG$6,4))</f>
        <v/>
      </c>
      <c r="AM12" s="28">
        <f>IF($A12="","",'الإعدادات'!$I$8*COUNTIFS($C12:$AG12,'الإعدادات'!$E$8,$C$6:$AG$6,5)+'الإعدادات'!$I$9*COUNTIFS($C12:$AG12,'الإعدادات'!$E$9,$C$6:$AG$6,5)+'الإعدادات'!$I$10*COUNTIFS($C12:$AG12,'الإعدادات'!$E$10,$C$6:$AG$6,5)+'الإعدادات'!$I$11*COUNTIFS($C12:$AG12,'الإعدادات'!$E$11,$C$6:$AG$6,5)+'الإعدادات'!$I$12*COUNTIFS($C12:$AG12,'الإعدادات'!$E$12,$C$6:$AG$6,5)+'الإعدادات'!$I$13*COUNTIFS($C12:$AG12,'الإعدادات'!$E$13,$C$6:$AG$6,5)+'الإعدادات'!$I$14*COUNTIFS($C12:$AG12,'الإعدادات'!$E$14,$C$6:$AG$6,5)+'الإعدادات'!$I$15*COUNTIFS($C12:$AG12,'الإعدادات'!$E$15,$C$6:$AG$6,5))</f>
        <v/>
      </c>
      <c r="AN12" s="28">
        <f>IF($A12="","",'الإعدادات'!$I$8*COUNTIFS($C12:$AG12,'الإعدادات'!$E$8,$C$6:$AG$6,6)+'الإعدادات'!$I$9*COUNTIFS($C12:$AG12,'الإعدادات'!$E$9,$C$6:$AG$6,6)+'الإعدادات'!$I$10*COUNTIFS($C12:$AG12,'الإعدادات'!$E$10,$C$6:$AG$6,6)+'الإعدادات'!$I$11*COUNTIFS($C12:$AG12,'الإعدادات'!$E$11,$C$6:$AG$6,6)+'الإعدادات'!$I$12*COUNTIFS($C12:$AG12,'الإعدادات'!$E$12,$C$6:$AG$6,6)+'الإعدادات'!$I$13*COUNTIFS($C12:$AG12,'الإعدادات'!$E$13,$C$6:$AG$6,6)+'الإعدادات'!$I$14*COUNTIFS($C12:$AG12,'الإعدادات'!$E$14,$C$6:$AG$6,6)+'الإعدادات'!$I$15*COUNTIFS($C12:$AG12,'الإعدادات'!$E$15,$C$6:$AG$6,6))</f>
        <v/>
      </c>
      <c r="AO12" s="28">
        <f>IF($A12="","",IFERROR(INDEX(StaffLimit,MATCH($A12,Staff,0)),""))</f>
        <v/>
      </c>
      <c r="AP12" s="34">
        <f>IF($A12="","",SUM(AI12:AN12))</f>
        <v/>
      </c>
      <c r="AQ12" s="28">
        <f>IF($A12="","",COUNTIF($C12:$AG12,'الإعدادات'!$E$11))</f>
        <v/>
      </c>
      <c r="AR12" s="28">
        <f>IF($A12="","",COUNTIF($C12:$AG12,'الإعدادات'!$E$12))</f>
        <v/>
      </c>
    </row>
    <row r="13">
      <c r="A13" s="8">
        <f>IF('خطة الورديات'!A12="","",'خطة الورديات'!A12)</f>
        <v/>
      </c>
      <c r="B13" s="8">
        <f>IF(A13="","",IFERROR(INDEX(StaffRole,MATCH(A13,Staff,0)),""))</f>
        <v/>
      </c>
      <c r="C13" s="33">
        <f>IF(OR(C$3="",$A13=""),"",IF(AND(C$5=1,COUNTIFS(LvStaff,$A13,LvFrom,"&lt;="&amp;C$3,LvTo,"&gt;="&amp;C$3,LvStat,'الإعدادات'!$Q$8)&gt;0),'الإعدادات'!$E$12,IF('خطة الورديات'!C12="","",'خطة الورديات'!C12)))</f>
        <v/>
      </c>
      <c r="D13" s="33">
        <f>IF(OR(D$3="",$A13=""),"",IF(AND(D$5=1,COUNTIFS(LvStaff,$A13,LvFrom,"&lt;="&amp;D$3,LvTo,"&gt;="&amp;D$3,LvStat,'الإعدادات'!$Q$8)&gt;0),'الإعدادات'!$E$12,IF('خطة الورديات'!D12="","",'خطة الورديات'!D12)))</f>
        <v/>
      </c>
      <c r="E13" s="33">
        <f>IF(OR(E$3="",$A13=""),"",IF(AND(E$5=1,COUNTIFS(LvStaff,$A13,LvFrom,"&lt;="&amp;E$3,LvTo,"&gt;="&amp;E$3,LvStat,'الإعدادات'!$Q$8)&gt;0),'الإعدادات'!$E$12,IF('خطة الورديات'!E12="","",'خطة الورديات'!E12)))</f>
        <v/>
      </c>
      <c r="F13" s="33">
        <f>IF(OR(F$3="",$A13=""),"",IF(AND(F$5=1,COUNTIFS(LvStaff,$A13,LvFrom,"&lt;="&amp;F$3,LvTo,"&gt;="&amp;F$3,LvStat,'الإعدادات'!$Q$8)&gt;0),'الإعدادات'!$E$12,IF('خطة الورديات'!F12="","",'خطة الورديات'!F12)))</f>
        <v/>
      </c>
      <c r="G13" s="33">
        <f>IF(OR(G$3="",$A13=""),"",IF(AND(G$5=1,COUNTIFS(LvStaff,$A13,LvFrom,"&lt;="&amp;G$3,LvTo,"&gt;="&amp;G$3,LvStat,'الإعدادات'!$Q$8)&gt;0),'الإعدادات'!$E$12,IF('خطة الورديات'!G12="","",'خطة الورديات'!G12)))</f>
        <v/>
      </c>
      <c r="H13" s="33">
        <f>IF(OR(H$3="",$A13=""),"",IF(AND(H$5=1,COUNTIFS(LvStaff,$A13,LvFrom,"&lt;="&amp;H$3,LvTo,"&gt;="&amp;H$3,LvStat,'الإعدادات'!$Q$8)&gt;0),'الإعدادات'!$E$12,IF('خطة الورديات'!H12="","",'خطة الورديات'!H12)))</f>
        <v/>
      </c>
      <c r="I13" s="33">
        <f>IF(OR(I$3="",$A13=""),"",IF(AND(I$5=1,COUNTIFS(LvStaff,$A13,LvFrom,"&lt;="&amp;I$3,LvTo,"&gt;="&amp;I$3,LvStat,'الإعدادات'!$Q$8)&gt;0),'الإعدادات'!$E$12,IF('خطة الورديات'!I12="","",'خطة الورديات'!I12)))</f>
        <v/>
      </c>
      <c r="J13" s="33">
        <f>IF(OR(J$3="",$A13=""),"",IF(AND(J$5=1,COUNTIFS(LvStaff,$A13,LvFrom,"&lt;="&amp;J$3,LvTo,"&gt;="&amp;J$3,LvStat,'الإعدادات'!$Q$8)&gt;0),'الإعدادات'!$E$12,IF('خطة الورديات'!J12="","",'خطة الورديات'!J12)))</f>
        <v/>
      </c>
      <c r="K13" s="33">
        <f>IF(OR(K$3="",$A13=""),"",IF(AND(K$5=1,COUNTIFS(LvStaff,$A13,LvFrom,"&lt;="&amp;K$3,LvTo,"&gt;="&amp;K$3,LvStat,'الإعدادات'!$Q$8)&gt;0),'الإعدادات'!$E$12,IF('خطة الورديات'!K12="","",'خطة الورديات'!K12)))</f>
        <v/>
      </c>
      <c r="L13" s="33">
        <f>IF(OR(L$3="",$A13=""),"",IF(AND(L$5=1,COUNTIFS(LvStaff,$A13,LvFrom,"&lt;="&amp;L$3,LvTo,"&gt;="&amp;L$3,LvStat,'الإعدادات'!$Q$8)&gt;0),'الإعدادات'!$E$12,IF('خطة الورديات'!L12="","",'خطة الورديات'!L12)))</f>
        <v/>
      </c>
      <c r="M13" s="33">
        <f>IF(OR(M$3="",$A13=""),"",IF(AND(M$5=1,COUNTIFS(LvStaff,$A13,LvFrom,"&lt;="&amp;M$3,LvTo,"&gt;="&amp;M$3,LvStat,'الإعدادات'!$Q$8)&gt;0),'الإعدادات'!$E$12,IF('خطة الورديات'!M12="","",'خطة الورديات'!M12)))</f>
        <v/>
      </c>
      <c r="N13" s="33">
        <f>IF(OR(N$3="",$A13=""),"",IF(AND(N$5=1,COUNTIFS(LvStaff,$A13,LvFrom,"&lt;="&amp;N$3,LvTo,"&gt;="&amp;N$3,LvStat,'الإعدادات'!$Q$8)&gt;0),'الإعدادات'!$E$12,IF('خطة الورديات'!N12="","",'خطة الورديات'!N12)))</f>
        <v/>
      </c>
      <c r="O13" s="33">
        <f>IF(OR(O$3="",$A13=""),"",IF(AND(O$5=1,COUNTIFS(LvStaff,$A13,LvFrom,"&lt;="&amp;O$3,LvTo,"&gt;="&amp;O$3,LvStat,'الإعدادات'!$Q$8)&gt;0),'الإعدادات'!$E$12,IF('خطة الورديات'!O12="","",'خطة الورديات'!O12)))</f>
        <v/>
      </c>
      <c r="P13" s="33">
        <f>IF(OR(P$3="",$A13=""),"",IF(AND(P$5=1,COUNTIFS(LvStaff,$A13,LvFrom,"&lt;="&amp;P$3,LvTo,"&gt;="&amp;P$3,LvStat,'الإعدادات'!$Q$8)&gt;0),'الإعدادات'!$E$12,IF('خطة الورديات'!P12="","",'خطة الورديات'!P12)))</f>
        <v/>
      </c>
      <c r="Q13" s="33">
        <f>IF(OR(Q$3="",$A13=""),"",IF(AND(Q$5=1,COUNTIFS(LvStaff,$A13,LvFrom,"&lt;="&amp;Q$3,LvTo,"&gt;="&amp;Q$3,LvStat,'الإعدادات'!$Q$8)&gt;0),'الإعدادات'!$E$12,IF('خطة الورديات'!Q12="","",'خطة الورديات'!Q12)))</f>
        <v/>
      </c>
      <c r="R13" s="33">
        <f>IF(OR(R$3="",$A13=""),"",IF(AND(R$5=1,COUNTIFS(LvStaff,$A13,LvFrom,"&lt;="&amp;R$3,LvTo,"&gt;="&amp;R$3,LvStat,'الإعدادات'!$Q$8)&gt;0),'الإعدادات'!$E$12,IF('خطة الورديات'!R12="","",'خطة الورديات'!R12)))</f>
        <v/>
      </c>
      <c r="S13" s="33">
        <f>IF(OR(S$3="",$A13=""),"",IF(AND(S$5=1,COUNTIFS(LvStaff,$A13,LvFrom,"&lt;="&amp;S$3,LvTo,"&gt;="&amp;S$3,LvStat,'الإعدادات'!$Q$8)&gt;0),'الإعدادات'!$E$12,IF('خطة الورديات'!S12="","",'خطة الورديات'!S12)))</f>
        <v/>
      </c>
      <c r="T13" s="33">
        <f>IF(OR(T$3="",$A13=""),"",IF(AND(T$5=1,COUNTIFS(LvStaff,$A13,LvFrom,"&lt;="&amp;T$3,LvTo,"&gt;="&amp;T$3,LvStat,'الإعدادات'!$Q$8)&gt;0),'الإعدادات'!$E$12,IF('خطة الورديات'!T12="","",'خطة الورديات'!T12)))</f>
        <v/>
      </c>
      <c r="U13" s="33">
        <f>IF(OR(U$3="",$A13=""),"",IF(AND(U$5=1,COUNTIFS(LvStaff,$A13,LvFrom,"&lt;="&amp;U$3,LvTo,"&gt;="&amp;U$3,LvStat,'الإعدادات'!$Q$8)&gt;0),'الإعدادات'!$E$12,IF('خطة الورديات'!U12="","",'خطة الورديات'!U12)))</f>
        <v/>
      </c>
      <c r="V13" s="33">
        <f>IF(OR(V$3="",$A13=""),"",IF(AND(V$5=1,COUNTIFS(LvStaff,$A13,LvFrom,"&lt;="&amp;V$3,LvTo,"&gt;="&amp;V$3,LvStat,'الإعدادات'!$Q$8)&gt;0),'الإعدادات'!$E$12,IF('خطة الورديات'!V12="","",'خطة الورديات'!V12)))</f>
        <v/>
      </c>
      <c r="W13" s="33">
        <f>IF(OR(W$3="",$A13=""),"",IF(AND(W$5=1,COUNTIFS(LvStaff,$A13,LvFrom,"&lt;="&amp;W$3,LvTo,"&gt;="&amp;W$3,LvStat,'الإعدادات'!$Q$8)&gt;0),'الإعدادات'!$E$12,IF('خطة الورديات'!W12="","",'خطة الورديات'!W12)))</f>
        <v/>
      </c>
      <c r="X13" s="33">
        <f>IF(OR(X$3="",$A13=""),"",IF(AND(X$5=1,COUNTIFS(LvStaff,$A13,LvFrom,"&lt;="&amp;X$3,LvTo,"&gt;="&amp;X$3,LvStat,'الإعدادات'!$Q$8)&gt;0),'الإعدادات'!$E$12,IF('خطة الورديات'!X12="","",'خطة الورديات'!X12)))</f>
        <v/>
      </c>
      <c r="Y13" s="33">
        <f>IF(OR(Y$3="",$A13=""),"",IF(AND(Y$5=1,COUNTIFS(LvStaff,$A13,LvFrom,"&lt;="&amp;Y$3,LvTo,"&gt;="&amp;Y$3,LvStat,'الإعدادات'!$Q$8)&gt;0),'الإعدادات'!$E$12,IF('خطة الورديات'!Y12="","",'خطة الورديات'!Y12)))</f>
        <v/>
      </c>
      <c r="Z13" s="33">
        <f>IF(OR(Z$3="",$A13=""),"",IF(AND(Z$5=1,COUNTIFS(LvStaff,$A13,LvFrom,"&lt;="&amp;Z$3,LvTo,"&gt;="&amp;Z$3,LvStat,'الإعدادات'!$Q$8)&gt;0),'الإعدادات'!$E$12,IF('خطة الورديات'!Z12="","",'خطة الورديات'!Z12)))</f>
        <v/>
      </c>
      <c r="AA13" s="33">
        <f>IF(OR(AA$3="",$A13=""),"",IF(AND(AA$5=1,COUNTIFS(LvStaff,$A13,LvFrom,"&lt;="&amp;AA$3,LvTo,"&gt;="&amp;AA$3,LvStat,'الإعدادات'!$Q$8)&gt;0),'الإعدادات'!$E$12,IF('خطة الورديات'!AA12="","",'خطة الورديات'!AA12)))</f>
        <v/>
      </c>
      <c r="AB13" s="33">
        <f>IF(OR(AB$3="",$A13=""),"",IF(AND(AB$5=1,COUNTIFS(LvStaff,$A13,LvFrom,"&lt;="&amp;AB$3,LvTo,"&gt;="&amp;AB$3,LvStat,'الإعدادات'!$Q$8)&gt;0),'الإعدادات'!$E$12,IF('خطة الورديات'!AB12="","",'خطة الورديات'!AB12)))</f>
        <v/>
      </c>
      <c r="AC13" s="33">
        <f>IF(OR(AC$3="",$A13=""),"",IF(AND(AC$5=1,COUNTIFS(LvStaff,$A13,LvFrom,"&lt;="&amp;AC$3,LvTo,"&gt;="&amp;AC$3,LvStat,'الإعدادات'!$Q$8)&gt;0),'الإعدادات'!$E$12,IF('خطة الورديات'!AC12="","",'خطة الورديات'!AC12)))</f>
        <v/>
      </c>
      <c r="AD13" s="33">
        <f>IF(OR(AD$3="",$A13=""),"",IF(AND(AD$5=1,COUNTIFS(LvStaff,$A13,LvFrom,"&lt;="&amp;AD$3,LvTo,"&gt;="&amp;AD$3,LvStat,'الإعدادات'!$Q$8)&gt;0),'الإعدادات'!$E$12,IF('خطة الورديات'!AD12="","",'خطة الورديات'!AD12)))</f>
        <v/>
      </c>
      <c r="AE13" s="33">
        <f>IF(OR(AE$3="",$A13=""),"",IF(AND(AE$5=1,COUNTIFS(LvStaff,$A13,LvFrom,"&lt;="&amp;AE$3,LvTo,"&gt;="&amp;AE$3,LvStat,'الإعدادات'!$Q$8)&gt;0),'الإعدادات'!$E$12,IF('خطة الورديات'!AE12="","",'خطة الورديات'!AE12)))</f>
        <v/>
      </c>
      <c r="AF13" s="33">
        <f>IF(OR(AF$3="",$A13=""),"",IF(AND(AF$5=1,COUNTIFS(LvStaff,$A13,LvFrom,"&lt;="&amp;AF$3,LvTo,"&gt;="&amp;AF$3,LvStat,'الإعدادات'!$Q$8)&gt;0),'الإعدادات'!$E$12,IF('خطة الورديات'!AF12="","",'خطة الورديات'!AF12)))</f>
        <v/>
      </c>
      <c r="AG13" s="33">
        <f>IF(OR(AG$3="",$A13=""),"",IF(AND(AG$5=1,COUNTIFS(LvStaff,$A13,LvFrom,"&lt;="&amp;AG$3,LvTo,"&gt;="&amp;AG$3,LvStat,'الإعدادات'!$Q$8)&gt;0),'الإعدادات'!$E$12,IF('خطة الورديات'!AG12="","",'خطة الورديات'!AG12)))</f>
        <v/>
      </c>
      <c r="AI13" s="28">
        <f>IF($A13="","",'الإعدادات'!$I$8*COUNTIFS($C13:$AG13,'الإعدادات'!$E$8,$C$6:$AG$6,1)+'الإعدادات'!$I$9*COUNTIFS($C13:$AG13,'الإعدادات'!$E$9,$C$6:$AG$6,1)+'الإعدادات'!$I$10*COUNTIFS($C13:$AG13,'الإعدادات'!$E$10,$C$6:$AG$6,1)+'الإعدادات'!$I$11*COUNTIFS($C13:$AG13,'الإعدادات'!$E$11,$C$6:$AG$6,1)+'الإعدادات'!$I$12*COUNTIFS($C13:$AG13,'الإعدادات'!$E$12,$C$6:$AG$6,1)+'الإعدادات'!$I$13*COUNTIFS($C13:$AG13,'الإعدادات'!$E$13,$C$6:$AG$6,1)+'الإعدادات'!$I$14*COUNTIFS($C13:$AG13,'الإعدادات'!$E$14,$C$6:$AG$6,1)+'الإعدادات'!$I$15*COUNTIFS($C13:$AG13,'الإعدادات'!$E$15,$C$6:$AG$6,1))</f>
        <v/>
      </c>
      <c r="AJ13" s="28">
        <f>IF($A13="","",'الإعدادات'!$I$8*COUNTIFS($C13:$AG13,'الإعدادات'!$E$8,$C$6:$AG$6,2)+'الإعدادات'!$I$9*COUNTIFS($C13:$AG13,'الإعدادات'!$E$9,$C$6:$AG$6,2)+'الإعدادات'!$I$10*COUNTIFS($C13:$AG13,'الإعدادات'!$E$10,$C$6:$AG$6,2)+'الإعدادات'!$I$11*COUNTIFS($C13:$AG13,'الإعدادات'!$E$11,$C$6:$AG$6,2)+'الإعدادات'!$I$12*COUNTIFS($C13:$AG13,'الإعدادات'!$E$12,$C$6:$AG$6,2)+'الإعدادات'!$I$13*COUNTIFS($C13:$AG13,'الإعدادات'!$E$13,$C$6:$AG$6,2)+'الإعدادات'!$I$14*COUNTIFS($C13:$AG13,'الإعدادات'!$E$14,$C$6:$AG$6,2)+'الإعدادات'!$I$15*COUNTIFS($C13:$AG13,'الإعدادات'!$E$15,$C$6:$AG$6,2))</f>
        <v/>
      </c>
      <c r="AK13" s="28">
        <f>IF($A13="","",'الإعدادات'!$I$8*COUNTIFS($C13:$AG13,'الإعدادات'!$E$8,$C$6:$AG$6,3)+'الإعدادات'!$I$9*COUNTIFS($C13:$AG13,'الإعدادات'!$E$9,$C$6:$AG$6,3)+'الإعدادات'!$I$10*COUNTIFS($C13:$AG13,'الإعدادات'!$E$10,$C$6:$AG$6,3)+'الإعدادات'!$I$11*COUNTIFS($C13:$AG13,'الإعدادات'!$E$11,$C$6:$AG$6,3)+'الإعدادات'!$I$12*COUNTIFS($C13:$AG13,'الإعدادات'!$E$12,$C$6:$AG$6,3)+'الإعدادات'!$I$13*COUNTIFS($C13:$AG13,'الإعدادات'!$E$13,$C$6:$AG$6,3)+'الإعدادات'!$I$14*COUNTIFS($C13:$AG13,'الإعدادات'!$E$14,$C$6:$AG$6,3)+'الإعدادات'!$I$15*COUNTIFS($C13:$AG13,'الإعدادات'!$E$15,$C$6:$AG$6,3))</f>
        <v/>
      </c>
      <c r="AL13" s="28">
        <f>IF($A13="","",'الإعدادات'!$I$8*COUNTIFS($C13:$AG13,'الإعدادات'!$E$8,$C$6:$AG$6,4)+'الإعدادات'!$I$9*COUNTIFS($C13:$AG13,'الإعدادات'!$E$9,$C$6:$AG$6,4)+'الإعدادات'!$I$10*COUNTIFS($C13:$AG13,'الإعدادات'!$E$10,$C$6:$AG$6,4)+'الإعدادات'!$I$11*COUNTIFS($C13:$AG13,'الإعدادات'!$E$11,$C$6:$AG$6,4)+'الإعدادات'!$I$12*COUNTIFS($C13:$AG13,'الإعدادات'!$E$12,$C$6:$AG$6,4)+'الإعدادات'!$I$13*COUNTIFS($C13:$AG13,'الإعدادات'!$E$13,$C$6:$AG$6,4)+'الإعدادات'!$I$14*COUNTIFS($C13:$AG13,'الإعدادات'!$E$14,$C$6:$AG$6,4)+'الإعدادات'!$I$15*COUNTIFS($C13:$AG13,'الإعدادات'!$E$15,$C$6:$AG$6,4))</f>
        <v/>
      </c>
      <c r="AM13" s="28">
        <f>IF($A13="","",'الإعدادات'!$I$8*COUNTIFS($C13:$AG13,'الإعدادات'!$E$8,$C$6:$AG$6,5)+'الإعدادات'!$I$9*COUNTIFS($C13:$AG13,'الإعدادات'!$E$9,$C$6:$AG$6,5)+'الإعدادات'!$I$10*COUNTIFS($C13:$AG13,'الإعدادات'!$E$10,$C$6:$AG$6,5)+'الإعدادات'!$I$11*COUNTIFS($C13:$AG13,'الإعدادات'!$E$11,$C$6:$AG$6,5)+'الإعدادات'!$I$12*COUNTIFS($C13:$AG13,'الإعدادات'!$E$12,$C$6:$AG$6,5)+'الإعدادات'!$I$13*COUNTIFS($C13:$AG13,'الإعدادات'!$E$13,$C$6:$AG$6,5)+'الإعدادات'!$I$14*COUNTIFS($C13:$AG13,'الإعدادات'!$E$14,$C$6:$AG$6,5)+'الإعدادات'!$I$15*COUNTIFS($C13:$AG13,'الإعدادات'!$E$15,$C$6:$AG$6,5))</f>
        <v/>
      </c>
      <c r="AN13" s="28">
        <f>IF($A13="","",'الإعدادات'!$I$8*COUNTIFS($C13:$AG13,'الإعدادات'!$E$8,$C$6:$AG$6,6)+'الإعدادات'!$I$9*COUNTIFS($C13:$AG13,'الإعدادات'!$E$9,$C$6:$AG$6,6)+'الإعدادات'!$I$10*COUNTIFS($C13:$AG13,'الإعدادات'!$E$10,$C$6:$AG$6,6)+'الإعدادات'!$I$11*COUNTIFS($C13:$AG13,'الإعدادات'!$E$11,$C$6:$AG$6,6)+'الإعدادات'!$I$12*COUNTIFS($C13:$AG13,'الإعدادات'!$E$12,$C$6:$AG$6,6)+'الإعدادات'!$I$13*COUNTIFS($C13:$AG13,'الإعدادات'!$E$13,$C$6:$AG$6,6)+'الإعدادات'!$I$14*COUNTIFS($C13:$AG13,'الإعدادات'!$E$14,$C$6:$AG$6,6)+'الإعدادات'!$I$15*COUNTIFS($C13:$AG13,'الإعدادات'!$E$15,$C$6:$AG$6,6))</f>
        <v/>
      </c>
      <c r="AO13" s="28">
        <f>IF($A13="","",IFERROR(INDEX(StaffLimit,MATCH($A13,Staff,0)),""))</f>
        <v/>
      </c>
      <c r="AP13" s="34">
        <f>IF($A13="","",SUM(AI13:AN13))</f>
        <v/>
      </c>
      <c r="AQ13" s="28">
        <f>IF($A13="","",COUNTIF($C13:$AG13,'الإعدادات'!$E$11))</f>
        <v/>
      </c>
      <c r="AR13" s="28">
        <f>IF($A13="","",COUNTIF($C13:$AG13,'الإعدادات'!$E$12))</f>
        <v/>
      </c>
    </row>
    <row r="14">
      <c r="A14" s="8">
        <f>IF('خطة الورديات'!A13="","",'خطة الورديات'!A13)</f>
        <v/>
      </c>
      <c r="B14" s="8">
        <f>IF(A14="","",IFERROR(INDEX(StaffRole,MATCH(A14,Staff,0)),""))</f>
        <v/>
      </c>
      <c r="C14" s="33">
        <f>IF(OR(C$3="",$A14=""),"",IF(AND(C$5=1,COUNTIFS(LvStaff,$A14,LvFrom,"&lt;="&amp;C$3,LvTo,"&gt;="&amp;C$3,LvStat,'الإعدادات'!$Q$8)&gt;0),'الإعدادات'!$E$12,IF('خطة الورديات'!C13="","",'خطة الورديات'!C13)))</f>
        <v/>
      </c>
      <c r="D14" s="33">
        <f>IF(OR(D$3="",$A14=""),"",IF(AND(D$5=1,COUNTIFS(LvStaff,$A14,LvFrom,"&lt;="&amp;D$3,LvTo,"&gt;="&amp;D$3,LvStat,'الإعدادات'!$Q$8)&gt;0),'الإعدادات'!$E$12,IF('خطة الورديات'!D13="","",'خطة الورديات'!D13)))</f>
        <v/>
      </c>
      <c r="E14" s="33">
        <f>IF(OR(E$3="",$A14=""),"",IF(AND(E$5=1,COUNTIFS(LvStaff,$A14,LvFrom,"&lt;="&amp;E$3,LvTo,"&gt;="&amp;E$3,LvStat,'الإعدادات'!$Q$8)&gt;0),'الإعدادات'!$E$12,IF('خطة الورديات'!E13="","",'خطة الورديات'!E13)))</f>
        <v/>
      </c>
      <c r="F14" s="33">
        <f>IF(OR(F$3="",$A14=""),"",IF(AND(F$5=1,COUNTIFS(LvStaff,$A14,LvFrom,"&lt;="&amp;F$3,LvTo,"&gt;="&amp;F$3,LvStat,'الإعدادات'!$Q$8)&gt;0),'الإعدادات'!$E$12,IF('خطة الورديات'!F13="","",'خطة الورديات'!F13)))</f>
        <v/>
      </c>
      <c r="G14" s="33">
        <f>IF(OR(G$3="",$A14=""),"",IF(AND(G$5=1,COUNTIFS(LvStaff,$A14,LvFrom,"&lt;="&amp;G$3,LvTo,"&gt;="&amp;G$3,LvStat,'الإعدادات'!$Q$8)&gt;0),'الإعدادات'!$E$12,IF('خطة الورديات'!G13="","",'خطة الورديات'!G13)))</f>
        <v/>
      </c>
      <c r="H14" s="33">
        <f>IF(OR(H$3="",$A14=""),"",IF(AND(H$5=1,COUNTIFS(LvStaff,$A14,LvFrom,"&lt;="&amp;H$3,LvTo,"&gt;="&amp;H$3,LvStat,'الإعدادات'!$Q$8)&gt;0),'الإعدادات'!$E$12,IF('خطة الورديات'!H13="","",'خطة الورديات'!H13)))</f>
        <v/>
      </c>
      <c r="I14" s="33">
        <f>IF(OR(I$3="",$A14=""),"",IF(AND(I$5=1,COUNTIFS(LvStaff,$A14,LvFrom,"&lt;="&amp;I$3,LvTo,"&gt;="&amp;I$3,LvStat,'الإعدادات'!$Q$8)&gt;0),'الإعدادات'!$E$12,IF('خطة الورديات'!I13="","",'خطة الورديات'!I13)))</f>
        <v/>
      </c>
      <c r="J14" s="33">
        <f>IF(OR(J$3="",$A14=""),"",IF(AND(J$5=1,COUNTIFS(LvStaff,$A14,LvFrom,"&lt;="&amp;J$3,LvTo,"&gt;="&amp;J$3,LvStat,'الإعدادات'!$Q$8)&gt;0),'الإعدادات'!$E$12,IF('خطة الورديات'!J13="","",'خطة الورديات'!J13)))</f>
        <v/>
      </c>
      <c r="K14" s="33">
        <f>IF(OR(K$3="",$A14=""),"",IF(AND(K$5=1,COUNTIFS(LvStaff,$A14,LvFrom,"&lt;="&amp;K$3,LvTo,"&gt;="&amp;K$3,LvStat,'الإعدادات'!$Q$8)&gt;0),'الإعدادات'!$E$12,IF('خطة الورديات'!K13="","",'خطة الورديات'!K13)))</f>
        <v/>
      </c>
      <c r="L14" s="33">
        <f>IF(OR(L$3="",$A14=""),"",IF(AND(L$5=1,COUNTIFS(LvStaff,$A14,LvFrom,"&lt;="&amp;L$3,LvTo,"&gt;="&amp;L$3,LvStat,'الإعدادات'!$Q$8)&gt;0),'الإعدادات'!$E$12,IF('خطة الورديات'!L13="","",'خطة الورديات'!L13)))</f>
        <v/>
      </c>
      <c r="M14" s="33">
        <f>IF(OR(M$3="",$A14=""),"",IF(AND(M$5=1,COUNTIFS(LvStaff,$A14,LvFrom,"&lt;="&amp;M$3,LvTo,"&gt;="&amp;M$3,LvStat,'الإعدادات'!$Q$8)&gt;0),'الإعدادات'!$E$12,IF('خطة الورديات'!M13="","",'خطة الورديات'!M13)))</f>
        <v/>
      </c>
      <c r="N14" s="33">
        <f>IF(OR(N$3="",$A14=""),"",IF(AND(N$5=1,COUNTIFS(LvStaff,$A14,LvFrom,"&lt;="&amp;N$3,LvTo,"&gt;="&amp;N$3,LvStat,'الإعدادات'!$Q$8)&gt;0),'الإعدادات'!$E$12,IF('خطة الورديات'!N13="","",'خطة الورديات'!N13)))</f>
        <v/>
      </c>
      <c r="O14" s="33">
        <f>IF(OR(O$3="",$A14=""),"",IF(AND(O$5=1,COUNTIFS(LvStaff,$A14,LvFrom,"&lt;="&amp;O$3,LvTo,"&gt;="&amp;O$3,LvStat,'الإعدادات'!$Q$8)&gt;0),'الإعدادات'!$E$12,IF('خطة الورديات'!O13="","",'خطة الورديات'!O13)))</f>
        <v/>
      </c>
      <c r="P14" s="33">
        <f>IF(OR(P$3="",$A14=""),"",IF(AND(P$5=1,COUNTIFS(LvStaff,$A14,LvFrom,"&lt;="&amp;P$3,LvTo,"&gt;="&amp;P$3,LvStat,'الإعدادات'!$Q$8)&gt;0),'الإعدادات'!$E$12,IF('خطة الورديات'!P13="","",'خطة الورديات'!P13)))</f>
        <v/>
      </c>
      <c r="Q14" s="33">
        <f>IF(OR(Q$3="",$A14=""),"",IF(AND(Q$5=1,COUNTIFS(LvStaff,$A14,LvFrom,"&lt;="&amp;Q$3,LvTo,"&gt;="&amp;Q$3,LvStat,'الإعدادات'!$Q$8)&gt;0),'الإعدادات'!$E$12,IF('خطة الورديات'!Q13="","",'خطة الورديات'!Q13)))</f>
        <v/>
      </c>
      <c r="R14" s="33">
        <f>IF(OR(R$3="",$A14=""),"",IF(AND(R$5=1,COUNTIFS(LvStaff,$A14,LvFrom,"&lt;="&amp;R$3,LvTo,"&gt;="&amp;R$3,LvStat,'الإعدادات'!$Q$8)&gt;0),'الإعدادات'!$E$12,IF('خطة الورديات'!R13="","",'خطة الورديات'!R13)))</f>
        <v/>
      </c>
      <c r="S14" s="33">
        <f>IF(OR(S$3="",$A14=""),"",IF(AND(S$5=1,COUNTIFS(LvStaff,$A14,LvFrom,"&lt;="&amp;S$3,LvTo,"&gt;="&amp;S$3,LvStat,'الإعدادات'!$Q$8)&gt;0),'الإعدادات'!$E$12,IF('خطة الورديات'!S13="","",'خطة الورديات'!S13)))</f>
        <v/>
      </c>
      <c r="T14" s="33">
        <f>IF(OR(T$3="",$A14=""),"",IF(AND(T$5=1,COUNTIFS(LvStaff,$A14,LvFrom,"&lt;="&amp;T$3,LvTo,"&gt;="&amp;T$3,LvStat,'الإعدادات'!$Q$8)&gt;0),'الإعدادات'!$E$12,IF('خطة الورديات'!T13="","",'خطة الورديات'!T13)))</f>
        <v/>
      </c>
      <c r="U14" s="33">
        <f>IF(OR(U$3="",$A14=""),"",IF(AND(U$5=1,COUNTIFS(LvStaff,$A14,LvFrom,"&lt;="&amp;U$3,LvTo,"&gt;="&amp;U$3,LvStat,'الإعدادات'!$Q$8)&gt;0),'الإعدادات'!$E$12,IF('خطة الورديات'!U13="","",'خطة الورديات'!U13)))</f>
        <v/>
      </c>
      <c r="V14" s="33">
        <f>IF(OR(V$3="",$A14=""),"",IF(AND(V$5=1,COUNTIFS(LvStaff,$A14,LvFrom,"&lt;="&amp;V$3,LvTo,"&gt;="&amp;V$3,LvStat,'الإعدادات'!$Q$8)&gt;0),'الإعدادات'!$E$12,IF('خطة الورديات'!V13="","",'خطة الورديات'!V13)))</f>
        <v/>
      </c>
      <c r="W14" s="33">
        <f>IF(OR(W$3="",$A14=""),"",IF(AND(W$5=1,COUNTIFS(LvStaff,$A14,LvFrom,"&lt;="&amp;W$3,LvTo,"&gt;="&amp;W$3,LvStat,'الإعدادات'!$Q$8)&gt;0),'الإعدادات'!$E$12,IF('خطة الورديات'!W13="","",'خطة الورديات'!W13)))</f>
        <v/>
      </c>
      <c r="X14" s="33">
        <f>IF(OR(X$3="",$A14=""),"",IF(AND(X$5=1,COUNTIFS(LvStaff,$A14,LvFrom,"&lt;="&amp;X$3,LvTo,"&gt;="&amp;X$3,LvStat,'الإعدادات'!$Q$8)&gt;0),'الإعدادات'!$E$12,IF('خطة الورديات'!X13="","",'خطة الورديات'!X13)))</f>
        <v/>
      </c>
      <c r="Y14" s="33">
        <f>IF(OR(Y$3="",$A14=""),"",IF(AND(Y$5=1,COUNTIFS(LvStaff,$A14,LvFrom,"&lt;="&amp;Y$3,LvTo,"&gt;="&amp;Y$3,LvStat,'الإعدادات'!$Q$8)&gt;0),'الإعدادات'!$E$12,IF('خطة الورديات'!Y13="","",'خطة الورديات'!Y13)))</f>
        <v/>
      </c>
      <c r="Z14" s="33">
        <f>IF(OR(Z$3="",$A14=""),"",IF(AND(Z$5=1,COUNTIFS(LvStaff,$A14,LvFrom,"&lt;="&amp;Z$3,LvTo,"&gt;="&amp;Z$3,LvStat,'الإعدادات'!$Q$8)&gt;0),'الإعدادات'!$E$12,IF('خطة الورديات'!Z13="","",'خطة الورديات'!Z13)))</f>
        <v/>
      </c>
      <c r="AA14" s="33">
        <f>IF(OR(AA$3="",$A14=""),"",IF(AND(AA$5=1,COUNTIFS(LvStaff,$A14,LvFrom,"&lt;="&amp;AA$3,LvTo,"&gt;="&amp;AA$3,LvStat,'الإعدادات'!$Q$8)&gt;0),'الإعدادات'!$E$12,IF('خطة الورديات'!AA13="","",'خطة الورديات'!AA13)))</f>
        <v/>
      </c>
      <c r="AB14" s="33">
        <f>IF(OR(AB$3="",$A14=""),"",IF(AND(AB$5=1,COUNTIFS(LvStaff,$A14,LvFrom,"&lt;="&amp;AB$3,LvTo,"&gt;="&amp;AB$3,LvStat,'الإعدادات'!$Q$8)&gt;0),'الإعدادات'!$E$12,IF('خطة الورديات'!AB13="","",'خطة الورديات'!AB13)))</f>
        <v/>
      </c>
      <c r="AC14" s="33">
        <f>IF(OR(AC$3="",$A14=""),"",IF(AND(AC$5=1,COUNTIFS(LvStaff,$A14,LvFrom,"&lt;="&amp;AC$3,LvTo,"&gt;="&amp;AC$3,LvStat,'الإعدادات'!$Q$8)&gt;0),'الإعدادات'!$E$12,IF('خطة الورديات'!AC13="","",'خطة الورديات'!AC13)))</f>
        <v/>
      </c>
      <c r="AD14" s="33">
        <f>IF(OR(AD$3="",$A14=""),"",IF(AND(AD$5=1,COUNTIFS(LvStaff,$A14,LvFrom,"&lt;="&amp;AD$3,LvTo,"&gt;="&amp;AD$3,LvStat,'الإعدادات'!$Q$8)&gt;0),'الإعدادات'!$E$12,IF('خطة الورديات'!AD13="","",'خطة الورديات'!AD13)))</f>
        <v/>
      </c>
      <c r="AE14" s="33">
        <f>IF(OR(AE$3="",$A14=""),"",IF(AND(AE$5=1,COUNTIFS(LvStaff,$A14,LvFrom,"&lt;="&amp;AE$3,LvTo,"&gt;="&amp;AE$3,LvStat,'الإعدادات'!$Q$8)&gt;0),'الإعدادات'!$E$12,IF('خطة الورديات'!AE13="","",'خطة الورديات'!AE13)))</f>
        <v/>
      </c>
      <c r="AF14" s="33">
        <f>IF(OR(AF$3="",$A14=""),"",IF(AND(AF$5=1,COUNTIFS(LvStaff,$A14,LvFrom,"&lt;="&amp;AF$3,LvTo,"&gt;="&amp;AF$3,LvStat,'الإعدادات'!$Q$8)&gt;0),'الإعدادات'!$E$12,IF('خطة الورديات'!AF13="","",'خطة الورديات'!AF13)))</f>
        <v/>
      </c>
      <c r="AG14" s="33">
        <f>IF(OR(AG$3="",$A14=""),"",IF(AND(AG$5=1,COUNTIFS(LvStaff,$A14,LvFrom,"&lt;="&amp;AG$3,LvTo,"&gt;="&amp;AG$3,LvStat,'الإعدادات'!$Q$8)&gt;0),'الإعدادات'!$E$12,IF('خطة الورديات'!AG13="","",'خطة الورديات'!AG13)))</f>
        <v/>
      </c>
      <c r="AI14" s="28">
        <f>IF($A14="","",'الإعدادات'!$I$8*COUNTIFS($C14:$AG14,'الإعدادات'!$E$8,$C$6:$AG$6,1)+'الإعدادات'!$I$9*COUNTIFS($C14:$AG14,'الإعدادات'!$E$9,$C$6:$AG$6,1)+'الإعدادات'!$I$10*COUNTIFS($C14:$AG14,'الإعدادات'!$E$10,$C$6:$AG$6,1)+'الإعدادات'!$I$11*COUNTIFS($C14:$AG14,'الإعدادات'!$E$11,$C$6:$AG$6,1)+'الإعدادات'!$I$12*COUNTIFS($C14:$AG14,'الإعدادات'!$E$12,$C$6:$AG$6,1)+'الإعدادات'!$I$13*COUNTIFS($C14:$AG14,'الإعدادات'!$E$13,$C$6:$AG$6,1)+'الإعدادات'!$I$14*COUNTIFS($C14:$AG14,'الإعدادات'!$E$14,$C$6:$AG$6,1)+'الإعدادات'!$I$15*COUNTIFS($C14:$AG14,'الإعدادات'!$E$15,$C$6:$AG$6,1))</f>
        <v/>
      </c>
      <c r="AJ14" s="28">
        <f>IF($A14="","",'الإعدادات'!$I$8*COUNTIFS($C14:$AG14,'الإعدادات'!$E$8,$C$6:$AG$6,2)+'الإعدادات'!$I$9*COUNTIFS($C14:$AG14,'الإعدادات'!$E$9,$C$6:$AG$6,2)+'الإعدادات'!$I$10*COUNTIFS($C14:$AG14,'الإعدادات'!$E$10,$C$6:$AG$6,2)+'الإعدادات'!$I$11*COUNTIFS($C14:$AG14,'الإعدادات'!$E$11,$C$6:$AG$6,2)+'الإعدادات'!$I$12*COUNTIFS($C14:$AG14,'الإعدادات'!$E$12,$C$6:$AG$6,2)+'الإعدادات'!$I$13*COUNTIFS($C14:$AG14,'الإعدادات'!$E$13,$C$6:$AG$6,2)+'الإعدادات'!$I$14*COUNTIFS($C14:$AG14,'الإعدادات'!$E$14,$C$6:$AG$6,2)+'الإعدادات'!$I$15*COUNTIFS($C14:$AG14,'الإعدادات'!$E$15,$C$6:$AG$6,2))</f>
        <v/>
      </c>
      <c r="AK14" s="28">
        <f>IF($A14="","",'الإعدادات'!$I$8*COUNTIFS($C14:$AG14,'الإعدادات'!$E$8,$C$6:$AG$6,3)+'الإعدادات'!$I$9*COUNTIFS($C14:$AG14,'الإعدادات'!$E$9,$C$6:$AG$6,3)+'الإعدادات'!$I$10*COUNTIFS($C14:$AG14,'الإعدادات'!$E$10,$C$6:$AG$6,3)+'الإعدادات'!$I$11*COUNTIFS($C14:$AG14,'الإعدادات'!$E$11,$C$6:$AG$6,3)+'الإعدادات'!$I$12*COUNTIFS($C14:$AG14,'الإعدادات'!$E$12,$C$6:$AG$6,3)+'الإعدادات'!$I$13*COUNTIFS($C14:$AG14,'الإعدادات'!$E$13,$C$6:$AG$6,3)+'الإعدادات'!$I$14*COUNTIFS($C14:$AG14,'الإعدادات'!$E$14,$C$6:$AG$6,3)+'الإعدادات'!$I$15*COUNTIFS($C14:$AG14,'الإعدادات'!$E$15,$C$6:$AG$6,3))</f>
        <v/>
      </c>
      <c r="AL14" s="28">
        <f>IF($A14="","",'الإعدادات'!$I$8*COUNTIFS($C14:$AG14,'الإعدادات'!$E$8,$C$6:$AG$6,4)+'الإعدادات'!$I$9*COUNTIFS($C14:$AG14,'الإعدادات'!$E$9,$C$6:$AG$6,4)+'الإعدادات'!$I$10*COUNTIFS($C14:$AG14,'الإعدادات'!$E$10,$C$6:$AG$6,4)+'الإعدادات'!$I$11*COUNTIFS($C14:$AG14,'الإعدادات'!$E$11,$C$6:$AG$6,4)+'الإعدادات'!$I$12*COUNTIFS($C14:$AG14,'الإعدادات'!$E$12,$C$6:$AG$6,4)+'الإعدادات'!$I$13*COUNTIFS($C14:$AG14,'الإعدادات'!$E$13,$C$6:$AG$6,4)+'الإعدادات'!$I$14*COUNTIFS($C14:$AG14,'الإعدادات'!$E$14,$C$6:$AG$6,4)+'الإعدادات'!$I$15*COUNTIFS($C14:$AG14,'الإعدادات'!$E$15,$C$6:$AG$6,4))</f>
        <v/>
      </c>
      <c r="AM14" s="28">
        <f>IF($A14="","",'الإعدادات'!$I$8*COUNTIFS($C14:$AG14,'الإعدادات'!$E$8,$C$6:$AG$6,5)+'الإعدادات'!$I$9*COUNTIFS($C14:$AG14,'الإعدادات'!$E$9,$C$6:$AG$6,5)+'الإعدادات'!$I$10*COUNTIFS($C14:$AG14,'الإعدادات'!$E$10,$C$6:$AG$6,5)+'الإعدادات'!$I$11*COUNTIFS($C14:$AG14,'الإعدادات'!$E$11,$C$6:$AG$6,5)+'الإعدادات'!$I$12*COUNTIFS($C14:$AG14,'الإعدادات'!$E$12,$C$6:$AG$6,5)+'الإعدادات'!$I$13*COUNTIFS($C14:$AG14,'الإعدادات'!$E$13,$C$6:$AG$6,5)+'الإعدادات'!$I$14*COUNTIFS($C14:$AG14,'الإعدادات'!$E$14,$C$6:$AG$6,5)+'الإعدادات'!$I$15*COUNTIFS($C14:$AG14,'الإعدادات'!$E$15,$C$6:$AG$6,5))</f>
        <v/>
      </c>
      <c r="AN14" s="28">
        <f>IF($A14="","",'الإعدادات'!$I$8*COUNTIFS($C14:$AG14,'الإعدادات'!$E$8,$C$6:$AG$6,6)+'الإعدادات'!$I$9*COUNTIFS($C14:$AG14,'الإعدادات'!$E$9,$C$6:$AG$6,6)+'الإعدادات'!$I$10*COUNTIFS($C14:$AG14,'الإعدادات'!$E$10,$C$6:$AG$6,6)+'الإعدادات'!$I$11*COUNTIFS($C14:$AG14,'الإعدادات'!$E$11,$C$6:$AG$6,6)+'الإعدادات'!$I$12*COUNTIFS($C14:$AG14,'الإعدادات'!$E$12,$C$6:$AG$6,6)+'الإعدادات'!$I$13*COUNTIFS($C14:$AG14,'الإعدادات'!$E$13,$C$6:$AG$6,6)+'الإعدادات'!$I$14*COUNTIFS($C14:$AG14,'الإعدادات'!$E$14,$C$6:$AG$6,6)+'الإعدادات'!$I$15*COUNTIFS($C14:$AG14,'الإعدادات'!$E$15,$C$6:$AG$6,6))</f>
        <v/>
      </c>
      <c r="AO14" s="28">
        <f>IF($A14="","",IFERROR(INDEX(StaffLimit,MATCH($A14,Staff,0)),""))</f>
        <v/>
      </c>
      <c r="AP14" s="34">
        <f>IF($A14="","",SUM(AI14:AN14))</f>
        <v/>
      </c>
      <c r="AQ14" s="28">
        <f>IF($A14="","",COUNTIF($C14:$AG14,'الإعدادات'!$E$11))</f>
        <v/>
      </c>
      <c r="AR14" s="28">
        <f>IF($A14="","",COUNTIF($C14:$AG14,'الإعدادات'!$E$12))</f>
        <v/>
      </c>
    </row>
    <row r="15">
      <c r="A15" s="8">
        <f>IF('خطة الورديات'!A14="","",'خطة الورديات'!A14)</f>
        <v/>
      </c>
      <c r="B15" s="8">
        <f>IF(A15="","",IFERROR(INDEX(StaffRole,MATCH(A15,Staff,0)),""))</f>
        <v/>
      </c>
      <c r="C15" s="33">
        <f>IF(OR(C$3="",$A15=""),"",IF(AND(C$5=1,COUNTIFS(LvStaff,$A15,LvFrom,"&lt;="&amp;C$3,LvTo,"&gt;="&amp;C$3,LvStat,'الإعدادات'!$Q$8)&gt;0),'الإعدادات'!$E$12,IF('خطة الورديات'!C14="","",'خطة الورديات'!C14)))</f>
        <v/>
      </c>
      <c r="D15" s="33">
        <f>IF(OR(D$3="",$A15=""),"",IF(AND(D$5=1,COUNTIFS(LvStaff,$A15,LvFrom,"&lt;="&amp;D$3,LvTo,"&gt;="&amp;D$3,LvStat,'الإعدادات'!$Q$8)&gt;0),'الإعدادات'!$E$12,IF('خطة الورديات'!D14="","",'خطة الورديات'!D14)))</f>
        <v/>
      </c>
      <c r="E15" s="33">
        <f>IF(OR(E$3="",$A15=""),"",IF(AND(E$5=1,COUNTIFS(LvStaff,$A15,LvFrom,"&lt;="&amp;E$3,LvTo,"&gt;="&amp;E$3,LvStat,'الإعدادات'!$Q$8)&gt;0),'الإعدادات'!$E$12,IF('خطة الورديات'!E14="","",'خطة الورديات'!E14)))</f>
        <v/>
      </c>
      <c r="F15" s="33">
        <f>IF(OR(F$3="",$A15=""),"",IF(AND(F$5=1,COUNTIFS(LvStaff,$A15,LvFrom,"&lt;="&amp;F$3,LvTo,"&gt;="&amp;F$3,LvStat,'الإعدادات'!$Q$8)&gt;0),'الإعدادات'!$E$12,IF('خطة الورديات'!F14="","",'خطة الورديات'!F14)))</f>
        <v/>
      </c>
      <c r="G15" s="33">
        <f>IF(OR(G$3="",$A15=""),"",IF(AND(G$5=1,COUNTIFS(LvStaff,$A15,LvFrom,"&lt;="&amp;G$3,LvTo,"&gt;="&amp;G$3,LvStat,'الإعدادات'!$Q$8)&gt;0),'الإعدادات'!$E$12,IF('خطة الورديات'!G14="","",'خطة الورديات'!G14)))</f>
        <v/>
      </c>
      <c r="H15" s="33">
        <f>IF(OR(H$3="",$A15=""),"",IF(AND(H$5=1,COUNTIFS(LvStaff,$A15,LvFrom,"&lt;="&amp;H$3,LvTo,"&gt;="&amp;H$3,LvStat,'الإعدادات'!$Q$8)&gt;0),'الإعدادات'!$E$12,IF('خطة الورديات'!H14="","",'خطة الورديات'!H14)))</f>
        <v/>
      </c>
      <c r="I15" s="33">
        <f>IF(OR(I$3="",$A15=""),"",IF(AND(I$5=1,COUNTIFS(LvStaff,$A15,LvFrom,"&lt;="&amp;I$3,LvTo,"&gt;="&amp;I$3,LvStat,'الإعدادات'!$Q$8)&gt;0),'الإعدادات'!$E$12,IF('خطة الورديات'!I14="","",'خطة الورديات'!I14)))</f>
        <v/>
      </c>
      <c r="J15" s="33">
        <f>IF(OR(J$3="",$A15=""),"",IF(AND(J$5=1,COUNTIFS(LvStaff,$A15,LvFrom,"&lt;="&amp;J$3,LvTo,"&gt;="&amp;J$3,LvStat,'الإعدادات'!$Q$8)&gt;0),'الإعدادات'!$E$12,IF('خطة الورديات'!J14="","",'خطة الورديات'!J14)))</f>
        <v/>
      </c>
      <c r="K15" s="33">
        <f>IF(OR(K$3="",$A15=""),"",IF(AND(K$5=1,COUNTIFS(LvStaff,$A15,LvFrom,"&lt;="&amp;K$3,LvTo,"&gt;="&amp;K$3,LvStat,'الإعدادات'!$Q$8)&gt;0),'الإعدادات'!$E$12,IF('خطة الورديات'!K14="","",'خطة الورديات'!K14)))</f>
        <v/>
      </c>
      <c r="L15" s="33">
        <f>IF(OR(L$3="",$A15=""),"",IF(AND(L$5=1,COUNTIFS(LvStaff,$A15,LvFrom,"&lt;="&amp;L$3,LvTo,"&gt;="&amp;L$3,LvStat,'الإعدادات'!$Q$8)&gt;0),'الإعدادات'!$E$12,IF('خطة الورديات'!L14="","",'خطة الورديات'!L14)))</f>
        <v/>
      </c>
      <c r="M15" s="33">
        <f>IF(OR(M$3="",$A15=""),"",IF(AND(M$5=1,COUNTIFS(LvStaff,$A15,LvFrom,"&lt;="&amp;M$3,LvTo,"&gt;="&amp;M$3,LvStat,'الإعدادات'!$Q$8)&gt;0),'الإعدادات'!$E$12,IF('خطة الورديات'!M14="","",'خطة الورديات'!M14)))</f>
        <v/>
      </c>
      <c r="N15" s="33">
        <f>IF(OR(N$3="",$A15=""),"",IF(AND(N$5=1,COUNTIFS(LvStaff,$A15,LvFrom,"&lt;="&amp;N$3,LvTo,"&gt;="&amp;N$3,LvStat,'الإعدادات'!$Q$8)&gt;0),'الإعدادات'!$E$12,IF('خطة الورديات'!N14="","",'خطة الورديات'!N14)))</f>
        <v/>
      </c>
      <c r="O15" s="33">
        <f>IF(OR(O$3="",$A15=""),"",IF(AND(O$5=1,COUNTIFS(LvStaff,$A15,LvFrom,"&lt;="&amp;O$3,LvTo,"&gt;="&amp;O$3,LvStat,'الإعدادات'!$Q$8)&gt;0),'الإعدادات'!$E$12,IF('خطة الورديات'!O14="","",'خطة الورديات'!O14)))</f>
        <v/>
      </c>
      <c r="P15" s="33">
        <f>IF(OR(P$3="",$A15=""),"",IF(AND(P$5=1,COUNTIFS(LvStaff,$A15,LvFrom,"&lt;="&amp;P$3,LvTo,"&gt;="&amp;P$3,LvStat,'الإعدادات'!$Q$8)&gt;0),'الإعدادات'!$E$12,IF('خطة الورديات'!P14="","",'خطة الورديات'!P14)))</f>
        <v/>
      </c>
      <c r="Q15" s="33">
        <f>IF(OR(Q$3="",$A15=""),"",IF(AND(Q$5=1,COUNTIFS(LvStaff,$A15,LvFrom,"&lt;="&amp;Q$3,LvTo,"&gt;="&amp;Q$3,LvStat,'الإعدادات'!$Q$8)&gt;0),'الإعدادات'!$E$12,IF('خطة الورديات'!Q14="","",'خطة الورديات'!Q14)))</f>
        <v/>
      </c>
      <c r="R15" s="33">
        <f>IF(OR(R$3="",$A15=""),"",IF(AND(R$5=1,COUNTIFS(LvStaff,$A15,LvFrom,"&lt;="&amp;R$3,LvTo,"&gt;="&amp;R$3,LvStat,'الإعدادات'!$Q$8)&gt;0),'الإعدادات'!$E$12,IF('خطة الورديات'!R14="","",'خطة الورديات'!R14)))</f>
        <v/>
      </c>
      <c r="S15" s="33">
        <f>IF(OR(S$3="",$A15=""),"",IF(AND(S$5=1,COUNTIFS(LvStaff,$A15,LvFrom,"&lt;="&amp;S$3,LvTo,"&gt;="&amp;S$3,LvStat,'الإعدادات'!$Q$8)&gt;0),'الإعدادات'!$E$12,IF('خطة الورديات'!S14="","",'خطة الورديات'!S14)))</f>
        <v/>
      </c>
      <c r="T15" s="33">
        <f>IF(OR(T$3="",$A15=""),"",IF(AND(T$5=1,COUNTIFS(LvStaff,$A15,LvFrom,"&lt;="&amp;T$3,LvTo,"&gt;="&amp;T$3,LvStat,'الإعدادات'!$Q$8)&gt;0),'الإعدادات'!$E$12,IF('خطة الورديات'!T14="","",'خطة الورديات'!T14)))</f>
        <v/>
      </c>
      <c r="U15" s="33">
        <f>IF(OR(U$3="",$A15=""),"",IF(AND(U$5=1,COUNTIFS(LvStaff,$A15,LvFrom,"&lt;="&amp;U$3,LvTo,"&gt;="&amp;U$3,LvStat,'الإعدادات'!$Q$8)&gt;0),'الإعدادات'!$E$12,IF('خطة الورديات'!U14="","",'خطة الورديات'!U14)))</f>
        <v/>
      </c>
      <c r="V15" s="33">
        <f>IF(OR(V$3="",$A15=""),"",IF(AND(V$5=1,COUNTIFS(LvStaff,$A15,LvFrom,"&lt;="&amp;V$3,LvTo,"&gt;="&amp;V$3,LvStat,'الإعدادات'!$Q$8)&gt;0),'الإعدادات'!$E$12,IF('خطة الورديات'!V14="","",'خطة الورديات'!V14)))</f>
        <v/>
      </c>
      <c r="W15" s="33">
        <f>IF(OR(W$3="",$A15=""),"",IF(AND(W$5=1,COUNTIFS(LvStaff,$A15,LvFrom,"&lt;="&amp;W$3,LvTo,"&gt;="&amp;W$3,LvStat,'الإعدادات'!$Q$8)&gt;0),'الإعدادات'!$E$12,IF('خطة الورديات'!W14="","",'خطة الورديات'!W14)))</f>
        <v/>
      </c>
      <c r="X15" s="33">
        <f>IF(OR(X$3="",$A15=""),"",IF(AND(X$5=1,COUNTIFS(LvStaff,$A15,LvFrom,"&lt;="&amp;X$3,LvTo,"&gt;="&amp;X$3,LvStat,'الإعدادات'!$Q$8)&gt;0),'الإعدادات'!$E$12,IF('خطة الورديات'!X14="","",'خطة الورديات'!X14)))</f>
        <v/>
      </c>
      <c r="Y15" s="33">
        <f>IF(OR(Y$3="",$A15=""),"",IF(AND(Y$5=1,COUNTIFS(LvStaff,$A15,LvFrom,"&lt;="&amp;Y$3,LvTo,"&gt;="&amp;Y$3,LvStat,'الإعدادات'!$Q$8)&gt;0),'الإعدادات'!$E$12,IF('خطة الورديات'!Y14="","",'خطة الورديات'!Y14)))</f>
        <v/>
      </c>
      <c r="Z15" s="33">
        <f>IF(OR(Z$3="",$A15=""),"",IF(AND(Z$5=1,COUNTIFS(LvStaff,$A15,LvFrom,"&lt;="&amp;Z$3,LvTo,"&gt;="&amp;Z$3,LvStat,'الإعدادات'!$Q$8)&gt;0),'الإعدادات'!$E$12,IF('خطة الورديات'!Z14="","",'خطة الورديات'!Z14)))</f>
        <v/>
      </c>
      <c r="AA15" s="33">
        <f>IF(OR(AA$3="",$A15=""),"",IF(AND(AA$5=1,COUNTIFS(LvStaff,$A15,LvFrom,"&lt;="&amp;AA$3,LvTo,"&gt;="&amp;AA$3,LvStat,'الإعدادات'!$Q$8)&gt;0),'الإعدادات'!$E$12,IF('خطة الورديات'!AA14="","",'خطة الورديات'!AA14)))</f>
        <v/>
      </c>
      <c r="AB15" s="33">
        <f>IF(OR(AB$3="",$A15=""),"",IF(AND(AB$5=1,COUNTIFS(LvStaff,$A15,LvFrom,"&lt;="&amp;AB$3,LvTo,"&gt;="&amp;AB$3,LvStat,'الإعدادات'!$Q$8)&gt;0),'الإعدادات'!$E$12,IF('خطة الورديات'!AB14="","",'خطة الورديات'!AB14)))</f>
        <v/>
      </c>
      <c r="AC15" s="33">
        <f>IF(OR(AC$3="",$A15=""),"",IF(AND(AC$5=1,COUNTIFS(LvStaff,$A15,LvFrom,"&lt;="&amp;AC$3,LvTo,"&gt;="&amp;AC$3,LvStat,'الإعدادات'!$Q$8)&gt;0),'الإعدادات'!$E$12,IF('خطة الورديات'!AC14="","",'خطة الورديات'!AC14)))</f>
        <v/>
      </c>
      <c r="AD15" s="33">
        <f>IF(OR(AD$3="",$A15=""),"",IF(AND(AD$5=1,COUNTIFS(LvStaff,$A15,LvFrom,"&lt;="&amp;AD$3,LvTo,"&gt;="&amp;AD$3,LvStat,'الإعدادات'!$Q$8)&gt;0),'الإعدادات'!$E$12,IF('خطة الورديات'!AD14="","",'خطة الورديات'!AD14)))</f>
        <v/>
      </c>
      <c r="AE15" s="33">
        <f>IF(OR(AE$3="",$A15=""),"",IF(AND(AE$5=1,COUNTIFS(LvStaff,$A15,LvFrom,"&lt;="&amp;AE$3,LvTo,"&gt;="&amp;AE$3,LvStat,'الإعدادات'!$Q$8)&gt;0),'الإعدادات'!$E$12,IF('خطة الورديات'!AE14="","",'خطة الورديات'!AE14)))</f>
        <v/>
      </c>
      <c r="AF15" s="33">
        <f>IF(OR(AF$3="",$A15=""),"",IF(AND(AF$5=1,COUNTIFS(LvStaff,$A15,LvFrom,"&lt;="&amp;AF$3,LvTo,"&gt;="&amp;AF$3,LvStat,'الإعدادات'!$Q$8)&gt;0),'الإعدادات'!$E$12,IF('خطة الورديات'!AF14="","",'خطة الورديات'!AF14)))</f>
        <v/>
      </c>
      <c r="AG15" s="33">
        <f>IF(OR(AG$3="",$A15=""),"",IF(AND(AG$5=1,COUNTIFS(LvStaff,$A15,LvFrom,"&lt;="&amp;AG$3,LvTo,"&gt;="&amp;AG$3,LvStat,'الإعدادات'!$Q$8)&gt;0),'الإعدادات'!$E$12,IF('خطة الورديات'!AG14="","",'خطة الورديات'!AG14)))</f>
        <v/>
      </c>
      <c r="AI15" s="28">
        <f>IF($A15="","",'الإعدادات'!$I$8*COUNTIFS($C15:$AG15,'الإعدادات'!$E$8,$C$6:$AG$6,1)+'الإعدادات'!$I$9*COUNTIFS($C15:$AG15,'الإعدادات'!$E$9,$C$6:$AG$6,1)+'الإعدادات'!$I$10*COUNTIFS($C15:$AG15,'الإعدادات'!$E$10,$C$6:$AG$6,1)+'الإعدادات'!$I$11*COUNTIFS($C15:$AG15,'الإعدادات'!$E$11,$C$6:$AG$6,1)+'الإعدادات'!$I$12*COUNTIFS($C15:$AG15,'الإعدادات'!$E$12,$C$6:$AG$6,1)+'الإعدادات'!$I$13*COUNTIFS($C15:$AG15,'الإعدادات'!$E$13,$C$6:$AG$6,1)+'الإعدادات'!$I$14*COUNTIFS($C15:$AG15,'الإعدادات'!$E$14,$C$6:$AG$6,1)+'الإعدادات'!$I$15*COUNTIFS($C15:$AG15,'الإعدادات'!$E$15,$C$6:$AG$6,1))</f>
        <v/>
      </c>
      <c r="AJ15" s="28">
        <f>IF($A15="","",'الإعدادات'!$I$8*COUNTIFS($C15:$AG15,'الإعدادات'!$E$8,$C$6:$AG$6,2)+'الإعدادات'!$I$9*COUNTIFS($C15:$AG15,'الإعدادات'!$E$9,$C$6:$AG$6,2)+'الإعدادات'!$I$10*COUNTIFS($C15:$AG15,'الإعدادات'!$E$10,$C$6:$AG$6,2)+'الإعدادات'!$I$11*COUNTIFS($C15:$AG15,'الإعدادات'!$E$11,$C$6:$AG$6,2)+'الإعدادات'!$I$12*COUNTIFS($C15:$AG15,'الإعدادات'!$E$12,$C$6:$AG$6,2)+'الإعدادات'!$I$13*COUNTIFS($C15:$AG15,'الإعدادات'!$E$13,$C$6:$AG$6,2)+'الإعدادات'!$I$14*COUNTIFS($C15:$AG15,'الإعدادات'!$E$14,$C$6:$AG$6,2)+'الإعدادات'!$I$15*COUNTIFS($C15:$AG15,'الإعدادات'!$E$15,$C$6:$AG$6,2))</f>
        <v/>
      </c>
      <c r="AK15" s="28">
        <f>IF($A15="","",'الإعدادات'!$I$8*COUNTIFS($C15:$AG15,'الإعدادات'!$E$8,$C$6:$AG$6,3)+'الإعدادات'!$I$9*COUNTIFS($C15:$AG15,'الإعدادات'!$E$9,$C$6:$AG$6,3)+'الإعدادات'!$I$10*COUNTIFS($C15:$AG15,'الإعدادات'!$E$10,$C$6:$AG$6,3)+'الإعدادات'!$I$11*COUNTIFS($C15:$AG15,'الإعدادات'!$E$11,$C$6:$AG$6,3)+'الإعدادات'!$I$12*COUNTIFS($C15:$AG15,'الإعدادات'!$E$12,$C$6:$AG$6,3)+'الإعدادات'!$I$13*COUNTIFS($C15:$AG15,'الإعدادات'!$E$13,$C$6:$AG$6,3)+'الإعدادات'!$I$14*COUNTIFS($C15:$AG15,'الإعدادات'!$E$14,$C$6:$AG$6,3)+'الإعدادات'!$I$15*COUNTIFS($C15:$AG15,'الإعدادات'!$E$15,$C$6:$AG$6,3))</f>
        <v/>
      </c>
      <c r="AL15" s="28">
        <f>IF($A15="","",'الإعدادات'!$I$8*COUNTIFS($C15:$AG15,'الإعدادات'!$E$8,$C$6:$AG$6,4)+'الإعدادات'!$I$9*COUNTIFS($C15:$AG15,'الإعدادات'!$E$9,$C$6:$AG$6,4)+'الإعدادات'!$I$10*COUNTIFS($C15:$AG15,'الإعدادات'!$E$10,$C$6:$AG$6,4)+'الإعدادات'!$I$11*COUNTIFS($C15:$AG15,'الإعدادات'!$E$11,$C$6:$AG$6,4)+'الإعدادات'!$I$12*COUNTIFS($C15:$AG15,'الإعدادات'!$E$12,$C$6:$AG$6,4)+'الإعدادات'!$I$13*COUNTIFS($C15:$AG15,'الإعدادات'!$E$13,$C$6:$AG$6,4)+'الإعدادات'!$I$14*COUNTIFS($C15:$AG15,'الإعدادات'!$E$14,$C$6:$AG$6,4)+'الإعدادات'!$I$15*COUNTIFS($C15:$AG15,'الإعدادات'!$E$15,$C$6:$AG$6,4))</f>
        <v/>
      </c>
      <c r="AM15" s="28">
        <f>IF($A15="","",'الإعدادات'!$I$8*COUNTIFS($C15:$AG15,'الإعدادات'!$E$8,$C$6:$AG$6,5)+'الإعدادات'!$I$9*COUNTIFS($C15:$AG15,'الإعدادات'!$E$9,$C$6:$AG$6,5)+'الإعدادات'!$I$10*COUNTIFS($C15:$AG15,'الإعدادات'!$E$10,$C$6:$AG$6,5)+'الإعدادات'!$I$11*COUNTIFS($C15:$AG15,'الإعدادات'!$E$11,$C$6:$AG$6,5)+'الإعدادات'!$I$12*COUNTIFS($C15:$AG15,'الإعدادات'!$E$12,$C$6:$AG$6,5)+'الإعدادات'!$I$13*COUNTIFS($C15:$AG15,'الإعدادات'!$E$13,$C$6:$AG$6,5)+'الإعدادات'!$I$14*COUNTIFS($C15:$AG15,'الإعدادات'!$E$14,$C$6:$AG$6,5)+'الإعدادات'!$I$15*COUNTIFS($C15:$AG15,'الإعدادات'!$E$15,$C$6:$AG$6,5))</f>
        <v/>
      </c>
      <c r="AN15" s="28">
        <f>IF($A15="","",'الإعدادات'!$I$8*COUNTIFS($C15:$AG15,'الإعدادات'!$E$8,$C$6:$AG$6,6)+'الإعدادات'!$I$9*COUNTIFS($C15:$AG15,'الإعدادات'!$E$9,$C$6:$AG$6,6)+'الإعدادات'!$I$10*COUNTIFS($C15:$AG15,'الإعدادات'!$E$10,$C$6:$AG$6,6)+'الإعدادات'!$I$11*COUNTIFS($C15:$AG15,'الإعدادات'!$E$11,$C$6:$AG$6,6)+'الإعدادات'!$I$12*COUNTIFS($C15:$AG15,'الإعدادات'!$E$12,$C$6:$AG$6,6)+'الإعدادات'!$I$13*COUNTIFS($C15:$AG15,'الإعدادات'!$E$13,$C$6:$AG$6,6)+'الإعدادات'!$I$14*COUNTIFS($C15:$AG15,'الإعدادات'!$E$14,$C$6:$AG$6,6)+'الإعدادات'!$I$15*COUNTIFS($C15:$AG15,'الإعدادات'!$E$15,$C$6:$AG$6,6))</f>
        <v/>
      </c>
      <c r="AO15" s="28">
        <f>IF($A15="","",IFERROR(INDEX(StaffLimit,MATCH($A15,Staff,0)),""))</f>
        <v/>
      </c>
      <c r="AP15" s="34">
        <f>IF($A15="","",SUM(AI15:AN15))</f>
        <v/>
      </c>
      <c r="AQ15" s="28">
        <f>IF($A15="","",COUNTIF($C15:$AG15,'الإعدادات'!$E$11))</f>
        <v/>
      </c>
      <c r="AR15" s="28">
        <f>IF($A15="","",COUNTIF($C15:$AG15,'الإعدادات'!$E$12))</f>
        <v/>
      </c>
    </row>
    <row r="16">
      <c r="A16" s="8">
        <f>IF('خطة الورديات'!A15="","",'خطة الورديات'!A15)</f>
        <v/>
      </c>
      <c r="B16" s="8">
        <f>IF(A16="","",IFERROR(INDEX(StaffRole,MATCH(A16,Staff,0)),""))</f>
        <v/>
      </c>
      <c r="C16" s="33">
        <f>IF(OR(C$3="",$A16=""),"",IF(AND(C$5=1,COUNTIFS(LvStaff,$A16,LvFrom,"&lt;="&amp;C$3,LvTo,"&gt;="&amp;C$3,LvStat,'الإعدادات'!$Q$8)&gt;0),'الإعدادات'!$E$12,IF('خطة الورديات'!C15="","",'خطة الورديات'!C15)))</f>
        <v/>
      </c>
      <c r="D16" s="33">
        <f>IF(OR(D$3="",$A16=""),"",IF(AND(D$5=1,COUNTIFS(LvStaff,$A16,LvFrom,"&lt;="&amp;D$3,LvTo,"&gt;="&amp;D$3,LvStat,'الإعدادات'!$Q$8)&gt;0),'الإعدادات'!$E$12,IF('خطة الورديات'!D15="","",'خطة الورديات'!D15)))</f>
        <v/>
      </c>
      <c r="E16" s="33">
        <f>IF(OR(E$3="",$A16=""),"",IF(AND(E$5=1,COUNTIFS(LvStaff,$A16,LvFrom,"&lt;="&amp;E$3,LvTo,"&gt;="&amp;E$3,LvStat,'الإعدادات'!$Q$8)&gt;0),'الإعدادات'!$E$12,IF('خطة الورديات'!E15="","",'خطة الورديات'!E15)))</f>
        <v/>
      </c>
      <c r="F16" s="33">
        <f>IF(OR(F$3="",$A16=""),"",IF(AND(F$5=1,COUNTIFS(LvStaff,$A16,LvFrom,"&lt;="&amp;F$3,LvTo,"&gt;="&amp;F$3,LvStat,'الإعدادات'!$Q$8)&gt;0),'الإعدادات'!$E$12,IF('خطة الورديات'!F15="","",'خطة الورديات'!F15)))</f>
        <v/>
      </c>
      <c r="G16" s="33">
        <f>IF(OR(G$3="",$A16=""),"",IF(AND(G$5=1,COUNTIFS(LvStaff,$A16,LvFrom,"&lt;="&amp;G$3,LvTo,"&gt;="&amp;G$3,LvStat,'الإعدادات'!$Q$8)&gt;0),'الإعدادات'!$E$12,IF('خطة الورديات'!G15="","",'خطة الورديات'!G15)))</f>
        <v/>
      </c>
      <c r="H16" s="33">
        <f>IF(OR(H$3="",$A16=""),"",IF(AND(H$5=1,COUNTIFS(LvStaff,$A16,LvFrom,"&lt;="&amp;H$3,LvTo,"&gt;="&amp;H$3,LvStat,'الإعدادات'!$Q$8)&gt;0),'الإعدادات'!$E$12,IF('خطة الورديات'!H15="","",'خطة الورديات'!H15)))</f>
        <v/>
      </c>
      <c r="I16" s="33">
        <f>IF(OR(I$3="",$A16=""),"",IF(AND(I$5=1,COUNTIFS(LvStaff,$A16,LvFrom,"&lt;="&amp;I$3,LvTo,"&gt;="&amp;I$3,LvStat,'الإعدادات'!$Q$8)&gt;0),'الإعدادات'!$E$12,IF('خطة الورديات'!I15="","",'خطة الورديات'!I15)))</f>
        <v/>
      </c>
      <c r="J16" s="33">
        <f>IF(OR(J$3="",$A16=""),"",IF(AND(J$5=1,COUNTIFS(LvStaff,$A16,LvFrom,"&lt;="&amp;J$3,LvTo,"&gt;="&amp;J$3,LvStat,'الإعدادات'!$Q$8)&gt;0),'الإعدادات'!$E$12,IF('خطة الورديات'!J15="","",'خطة الورديات'!J15)))</f>
        <v/>
      </c>
      <c r="K16" s="33">
        <f>IF(OR(K$3="",$A16=""),"",IF(AND(K$5=1,COUNTIFS(LvStaff,$A16,LvFrom,"&lt;="&amp;K$3,LvTo,"&gt;="&amp;K$3,LvStat,'الإعدادات'!$Q$8)&gt;0),'الإعدادات'!$E$12,IF('خطة الورديات'!K15="","",'خطة الورديات'!K15)))</f>
        <v/>
      </c>
      <c r="L16" s="33">
        <f>IF(OR(L$3="",$A16=""),"",IF(AND(L$5=1,COUNTIFS(LvStaff,$A16,LvFrom,"&lt;="&amp;L$3,LvTo,"&gt;="&amp;L$3,LvStat,'الإعدادات'!$Q$8)&gt;0),'الإعدادات'!$E$12,IF('خطة الورديات'!L15="","",'خطة الورديات'!L15)))</f>
        <v/>
      </c>
      <c r="M16" s="33">
        <f>IF(OR(M$3="",$A16=""),"",IF(AND(M$5=1,COUNTIFS(LvStaff,$A16,LvFrom,"&lt;="&amp;M$3,LvTo,"&gt;="&amp;M$3,LvStat,'الإعدادات'!$Q$8)&gt;0),'الإعدادات'!$E$12,IF('خطة الورديات'!M15="","",'خطة الورديات'!M15)))</f>
        <v/>
      </c>
      <c r="N16" s="33">
        <f>IF(OR(N$3="",$A16=""),"",IF(AND(N$5=1,COUNTIFS(LvStaff,$A16,LvFrom,"&lt;="&amp;N$3,LvTo,"&gt;="&amp;N$3,LvStat,'الإعدادات'!$Q$8)&gt;0),'الإعدادات'!$E$12,IF('خطة الورديات'!N15="","",'خطة الورديات'!N15)))</f>
        <v/>
      </c>
      <c r="O16" s="33">
        <f>IF(OR(O$3="",$A16=""),"",IF(AND(O$5=1,COUNTIFS(LvStaff,$A16,LvFrom,"&lt;="&amp;O$3,LvTo,"&gt;="&amp;O$3,LvStat,'الإعدادات'!$Q$8)&gt;0),'الإعدادات'!$E$12,IF('خطة الورديات'!O15="","",'خطة الورديات'!O15)))</f>
        <v/>
      </c>
      <c r="P16" s="33">
        <f>IF(OR(P$3="",$A16=""),"",IF(AND(P$5=1,COUNTIFS(LvStaff,$A16,LvFrom,"&lt;="&amp;P$3,LvTo,"&gt;="&amp;P$3,LvStat,'الإعدادات'!$Q$8)&gt;0),'الإعدادات'!$E$12,IF('خطة الورديات'!P15="","",'خطة الورديات'!P15)))</f>
        <v/>
      </c>
      <c r="Q16" s="33">
        <f>IF(OR(Q$3="",$A16=""),"",IF(AND(Q$5=1,COUNTIFS(LvStaff,$A16,LvFrom,"&lt;="&amp;Q$3,LvTo,"&gt;="&amp;Q$3,LvStat,'الإعدادات'!$Q$8)&gt;0),'الإعدادات'!$E$12,IF('خطة الورديات'!Q15="","",'خطة الورديات'!Q15)))</f>
        <v/>
      </c>
      <c r="R16" s="33">
        <f>IF(OR(R$3="",$A16=""),"",IF(AND(R$5=1,COUNTIFS(LvStaff,$A16,LvFrom,"&lt;="&amp;R$3,LvTo,"&gt;="&amp;R$3,LvStat,'الإعدادات'!$Q$8)&gt;0),'الإعدادات'!$E$12,IF('خطة الورديات'!R15="","",'خطة الورديات'!R15)))</f>
        <v/>
      </c>
      <c r="S16" s="33">
        <f>IF(OR(S$3="",$A16=""),"",IF(AND(S$5=1,COUNTIFS(LvStaff,$A16,LvFrom,"&lt;="&amp;S$3,LvTo,"&gt;="&amp;S$3,LvStat,'الإعدادات'!$Q$8)&gt;0),'الإعدادات'!$E$12,IF('خطة الورديات'!S15="","",'خطة الورديات'!S15)))</f>
        <v/>
      </c>
      <c r="T16" s="33">
        <f>IF(OR(T$3="",$A16=""),"",IF(AND(T$5=1,COUNTIFS(LvStaff,$A16,LvFrom,"&lt;="&amp;T$3,LvTo,"&gt;="&amp;T$3,LvStat,'الإعدادات'!$Q$8)&gt;0),'الإعدادات'!$E$12,IF('خطة الورديات'!T15="","",'خطة الورديات'!T15)))</f>
        <v/>
      </c>
      <c r="U16" s="33">
        <f>IF(OR(U$3="",$A16=""),"",IF(AND(U$5=1,COUNTIFS(LvStaff,$A16,LvFrom,"&lt;="&amp;U$3,LvTo,"&gt;="&amp;U$3,LvStat,'الإعدادات'!$Q$8)&gt;0),'الإعدادات'!$E$12,IF('خطة الورديات'!U15="","",'خطة الورديات'!U15)))</f>
        <v/>
      </c>
      <c r="V16" s="33">
        <f>IF(OR(V$3="",$A16=""),"",IF(AND(V$5=1,COUNTIFS(LvStaff,$A16,LvFrom,"&lt;="&amp;V$3,LvTo,"&gt;="&amp;V$3,LvStat,'الإعدادات'!$Q$8)&gt;0),'الإعدادات'!$E$12,IF('خطة الورديات'!V15="","",'خطة الورديات'!V15)))</f>
        <v/>
      </c>
      <c r="W16" s="33">
        <f>IF(OR(W$3="",$A16=""),"",IF(AND(W$5=1,COUNTIFS(LvStaff,$A16,LvFrom,"&lt;="&amp;W$3,LvTo,"&gt;="&amp;W$3,LvStat,'الإعدادات'!$Q$8)&gt;0),'الإعدادات'!$E$12,IF('خطة الورديات'!W15="","",'خطة الورديات'!W15)))</f>
        <v/>
      </c>
      <c r="X16" s="33">
        <f>IF(OR(X$3="",$A16=""),"",IF(AND(X$5=1,COUNTIFS(LvStaff,$A16,LvFrom,"&lt;="&amp;X$3,LvTo,"&gt;="&amp;X$3,LvStat,'الإعدادات'!$Q$8)&gt;0),'الإعدادات'!$E$12,IF('خطة الورديات'!X15="","",'خطة الورديات'!X15)))</f>
        <v/>
      </c>
      <c r="Y16" s="33">
        <f>IF(OR(Y$3="",$A16=""),"",IF(AND(Y$5=1,COUNTIFS(LvStaff,$A16,LvFrom,"&lt;="&amp;Y$3,LvTo,"&gt;="&amp;Y$3,LvStat,'الإعدادات'!$Q$8)&gt;0),'الإعدادات'!$E$12,IF('خطة الورديات'!Y15="","",'خطة الورديات'!Y15)))</f>
        <v/>
      </c>
      <c r="Z16" s="33">
        <f>IF(OR(Z$3="",$A16=""),"",IF(AND(Z$5=1,COUNTIFS(LvStaff,$A16,LvFrom,"&lt;="&amp;Z$3,LvTo,"&gt;="&amp;Z$3,LvStat,'الإعدادات'!$Q$8)&gt;0),'الإعدادات'!$E$12,IF('خطة الورديات'!Z15="","",'خطة الورديات'!Z15)))</f>
        <v/>
      </c>
      <c r="AA16" s="33">
        <f>IF(OR(AA$3="",$A16=""),"",IF(AND(AA$5=1,COUNTIFS(LvStaff,$A16,LvFrom,"&lt;="&amp;AA$3,LvTo,"&gt;="&amp;AA$3,LvStat,'الإعدادات'!$Q$8)&gt;0),'الإعدادات'!$E$12,IF('خطة الورديات'!AA15="","",'خطة الورديات'!AA15)))</f>
        <v/>
      </c>
      <c r="AB16" s="33">
        <f>IF(OR(AB$3="",$A16=""),"",IF(AND(AB$5=1,COUNTIFS(LvStaff,$A16,LvFrom,"&lt;="&amp;AB$3,LvTo,"&gt;="&amp;AB$3,LvStat,'الإعدادات'!$Q$8)&gt;0),'الإعدادات'!$E$12,IF('خطة الورديات'!AB15="","",'خطة الورديات'!AB15)))</f>
        <v/>
      </c>
      <c r="AC16" s="33">
        <f>IF(OR(AC$3="",$A16=""),"",IF(AND(AC$5=1,COUNTIFS(LvStaff,$A16,LvFrom,"&lt;="&amp;AC$3,LvTo,"&gt;="&amp;AC$3,LvStat,'الإعدادات'!$Q$8)&gt;0),'الإعدادات'!$E$12,IF('خطة الورديات'!AC15="","",'خطة الورديات'!AC15)))</f>
        <v/>
      </c>
      <c r="AD16" s="33">
        <f>IF(OR(AD$3="",$A16=""),"",IF(AND(AD$5=1,COUNTIFS(LvStaff,$A16,LvFrom,"&lt;="&amp;AD$3,LvTo,"&gt;="&amp;AD$3,LvStat,'الإعدادات'!$Q$8)&gt;0),'الإعدادات'!$E$12,IF('خطة الورديات'!AD15="","",'خطة الورديات'!AD15)))</f>
        <v/>
      </c>
      <c r="AE16" s="33">
        <f>IF(OR(AE$3="",$A16=""),"",IF(AND(AE$5=1,COUNTIFS(LvStaff,$A16,LvFrom,"&lt;="&amp;AE$3,LvTo,"&gt;="&amp;AE$3,LvStat,'الإعدادات'!$Q$8)&gt;0),'الإعدادات'!$E$12,IF('خطة الورديات'!AE15="","",'خطة الورديات'!AE15)))</f>
        <v/>
      </c>
      <c r="AF16" s="33">
        <f>IF(OR(AF$3="",$A16=""),"",IF(AND(AF$5=1,COUNTIFS(LvStaff,$A16,LvFrom,"&lt;="&amp;AF$3,LvTo,"&gt;="&amp;AF$3,LvStat,'الإعدادات'!$Q$8)&gt;0),'الإعدادات'!$E$12,IF('خطة الورديات'!AF15="","",'خطة الورديات'!AF15)))</f>
        <v/>
      </c>
      <c r="AG16" s="33">
        <f>IF(OR(AG$3="",$A16=""),"",IF(AND(AG$5=1,COUNTIFS(LvStaff,$A16,LvFrom,"&lt;="&amp;AG$3,LvTo,"&gt;="&amp;AG$3,LvStat,'الإعدادات'!$Q$8)&gt;0),'الإعدادات'!$E$12,IF('خطة الورديات'!AG15="","",'خطة الورديات'!AG15)))</f>
        <v/>
      </c>
      <c r="AI16" s="28">
        <f>IF($A16="","",'الإعدادات'!$I$8*COUNTIFS($C16:$AG16,'الإعدادات'!$E$8,$C$6:$AG$6,1)+'الإعدادات'!$I$9*COUNTIFS($C16:$AG16,'الإعدادات'!$E$9,$C$6:$AG$6,1)+'الإعدادات'!$I$10*COUNTIFS($C16:$AG16,'الإعدادات'!$E$10,$C$6:$AG$6,1)+'الإعدادات'!$I$11*COUNTIFS($C16:$AG16,'الإعدادات'!$E$11,$C$6:$AG$6,1)+'الإعدادات'!$I$12*COUNTIFS($C16:$AG16,'الإعدادات'!$E$12,$C$6:$AG$6,1)+'الإعدادات'!$I$13*COUNTIFS($C16:$AG16,'الإعدادات'!$E$13,$C$6:$AG$6,1)+'الإعدادات'!$I$14*COUNTIFS($C16:$AG16,'الإعدادات'!$E$14,$C$6:$AG$6,1)+'الإعدادات'!$I$15*COUNTIFS($C16:$AG16,'الإعدادات'!$E$15,$C$6:$AG$6,1))</f>
        <v/>
      </c>
      <c r="AJ16" s="28">
        <f>IF($A16="","",'الإعدادات'!$I$8*COUNTIFS($C16:$AG16,'الإعدادات'!$E$8,$C$6:$AG$6,2)+'الإعدادات'!$I$9*COUNTIFS($C16:$AG16,'الإعدادات'!$E$9,$C$6:$AG$6,2)+'الإعدادات'!$I$10*COUNTIFS($C16:$AG16,'الإعدادات'!$E$10,$C$6:$AG$6,2)+'الإعدادات'!$I$11*COUNTIFS($C16:$AG16,'الإعدادات'!$E$11,$C$6:$AG$6,2)+'الإعدادات'!$I$12*COUNTIFS($C16:$AG16,'الإعدادات'!$E$12,$C$6:$AG$6,2)+'الإعدادات'!$I$13*COUNTIFS($C16:$AG16,'الإعدادات'!$E$13,$C$6:$AG$6,2)+'الإعدادات'!$I$14*COUNTIFS($C16:$AG16,'الإعدادات'!$E$14,$C$6:$AG$6,2)+'الإعدادات'!$I$15*COUNTIFS($C16:$AG16,'الإعدادات'!$E$15,$C$6:$AG$6,2))</f>
        <v/>
      </c>
      <c r="AK16" s="28">
        <f>IF($A16="","",'الإعدادات'!$I$8*COUNTIFS($C16:$AG16,'الإعدادات'!$E$8,$C$6:$AG$6,3)+'الإعدادات'!$I$9*COUNTIFS($C16:$AG16,'الإعدادات'!$E$9,$C$6:$AG$6,3)+'الإعدادات'!$I$10*COUNTIFS($C16:$AG16,'الإعدادات'!$E$10,$C$6:$AG$6,3)+'الإعدادات'!$I$11*COUNTIFS($C16:$AG16,'الإعدادات'!$E$11,$C$6:$AG$6,3)+'الإعدادات'!$I$12*COUNTIFS($C16:$AG16,'الإعدادات'!$E$12,$C$6:$AG$6,3)+'الإعدادات'!$I$13*COUNTIFS($C16:$AG16,'الإعدادات'!$E$13,$C$6:$AG$6,3)+'الإعدادات'!$I$14*COUNTIFS($C16:$AG16,'الإعدادات'!$E$14,$C$6:$AG$6,3)+'الإعدادات'!$I$15*COUNTIFS($C16:$AG16,'الإعدادات'!$E$15,$C$6:$AG$6,3))</f>
        <v/>
      </c>
      <c r="AL16" s="28">
        <f>IF($A16="","",'الإعدادات'!$I$8*COUNTIFS($C16:$AG16,'الإعدادات'!$E$8,$C$6:$AG$6,4)+'الإعدادات'!$I$9*COUNTIFS($C16:$AG16,'الإعدادات'!$E$9,$C$6:$AG$6,4)+'الإعدادات'!$I$10*COUNTIFS($C16:$AG16,'الإعدادات'!$E$10,$C$6:$AG$6,4)+'الإعدادات'!$I$11*COUNTIFS($C16:$AG16,'الإعدادات'!$E$11,$C$6:$AG$6,4)+'الإعدادات'!$I$12*COUNTIFS($C16:$AG16,'الإعدادات'!$E$12,$C$6:$AG$6,4)+'الإعدادات'!$I$13*COUNTIFS($C16:$AG16,'الإعدادات'!$E$13,$C$6:$AG$6,4)+'الإعدادات'!$I$14*COUNTIFS($C16:$AG16,'الإعدادات'!$E$14,$C$6:$AG$6,4)+'الإعدادات'!$I$15*COUNTIFS($C16:$AG16,'الإعدادات'!$E$15,$C$6:$AG$6,4))</f>
        <v/>
      </c>
      <c r="AM16" s="28">
        <f>IF($A16="","",'الإعدادات'!$I$8*COUNTIFS($C16:$AG16,'الإعدادات'!$E$8,$C$6:$AG$6,5)+'الإعدادات'!$I$9*COUNTIFS($C16:$AG16,'الإعدادات'!$E$9,$C$6:$AG$6,5)+'الإعدادات'!$I$10*COUNTIFS($C16:$AG16,'الإعدادات'!$E$10,$C$6:$AG$6,5)+'الإعدادات'!$I$11*COUNTIFS($C16:$AG16,'الإعدادات'!$E$11,$C$6:$AG$6,5)+'الإعدادات'!$I$12*COUNTIFS($C16:$AG16,'الإعدادات'!$E$12,$C$6:$AG$6,5)+'الإعدادات'!$I$13*COUNTIFS($C16:$AG16,'الإعدادات'!$E$13,$C$6:$AG$6,5)+'الإعدادات'!$I$14*COUNTIFS($C16:$AG16,'الإعدادات'!$E$14,$C$6:$AG$6,5)+'الإعدادات'!$I$15*COUNTIFS($C16:$AG16,'الإعدادات'!$E$15,$C$6:$AG$6,5))</f>
        <v/>
      </c>
      <c r="AN16" s="28">
        <f>IF($A16="","",'الإعدادات'!$I$8*COUNTIFS($C16:$AG16,'الإعدادات'!$E$8,$C$6:$AG$6,6)+'الإعدادات'!$I$9*COUNTIFS($C16:$AG16,'الإعدادات'!$E$9,$C$6:$AG$6,6)+'الإعدادات'!$I$10*COUNTIFS($C16:$AG16,'الإعدادات'!$E$10,$C$6:$AG$6,6)+'الإعدادات'!$I$11*COUNTIFS($C16:$AG16,'الإعدادات'!$E$11,$C$6:$AG$6,6)+'الإعدادات'!$I$12*COUNTIFS($C16:$AG16,'الإعدادات'!$E$12,$C$6:$AG$6,6)+'الإعدادات'!$I$13*COUNTIFS($C16:$AG16,'الإعدادات'!$E$13,$C$6:$AG$6,6)+'الإعدادات'!$I$14*COUNTIFS($C16:$AG16,'الإعدادات'!$E$14,$C$6:$AG$6,6)+'الإعدادات'!$I$15*COUNTIFS($C16:$AG16,'الإعدادات'!$E$15,$C$6:$AG$6,6))</f>
        <v/>
      </c>
      <c r="AO16" s="28">
        <f>IF($A16="","",IFERROR(INDEX(StaffLimit,MATCH($A16,Staff,0)),""))</f>
        <v/>
      </c>
      <c r="AP16" s="34">
        <f>IF($A16="","",SUM(AI16:AN16))</f>
        <v/>
      </c>
      <c r="AQ16" s="28">
        <f>IF($A16="","",COUNTIF($C16:$AG16,'الإعدادات'!$E$11))</f>
        <v/>
      </c>
      <c r="AR16" s="28">
        <f>IF($A16="","",COUNTIF($C16:$AG16,'الإعدادات'!$E$12))</f>
        <v/>
      </c>
    </row>
    <row r="17">
      <c r="A17" s="3" t="inlineStr">
        <is>
          <t>عدد الموجودين حسب الوردية والوظيفة</t>
        </is>
      </c>
      <c r="B17" s="11" t="n"/>
      <c r="AI17" s="7" t="inlineStr">
        <is>
          <t>الحد الأدنى</t>
        </is>
      </c>
    </row>
    <row r="18">
      <c r="A18" s="4" t="inlineStr">
        <is>
          <t>صباحي</t>
        </is>
      </c>
      <c r="B18" s="4" t="inlineStr">
        <is>
          <t>استقبال</t>
        </is>
      </c>
      <c r="C18" s="28">
        <f>IF(OR(C$3="",$A18="",$B18=""),"",COUNTIFS($B$9:$B$16,$B18,C$9:C$16,INDEX(ShiftCodes,MATCH($A18,ShiftNames,0)))+COUNTIFS($B$9:$B$16,$B18,C$9:C$16,'الإعدادات'!$E$10))</f>
        <v/>
      </c>
      <c r="D18" s="28">
        <f>IF(OR(D$3="",$A18="",$B18=""),"",COUNTIFS($B$9:$B$16,$B18,D$9:D$16,INDEX(ShiftCodes,MATCH($A18,ShiftNames,0)))+COUNTIFS($B$9:$B$16,$B18,D$9:D$16,'الإعدادات'!$E$10))</f>
        <v/>
      </c>
      <c r="E18" s="28">
        <f>IF(OR(E$3="",$A18="",$B18=""),"",COUNTIFS($B$9:$B$16,$B18,E$9:E$16,INDEX(ShiftCodes,MATCH($A18,ShiftNames,0)))+COUNTIFS($B$9:$B$16,$B18,E$9:E$16,'الإعدادات'!$E$10))</f>
        <v/>
      </c>
      <c r="F18" s="28">
        <f>IF(OR(F$3="",$A18="",$B18=""),"",COUNTIFS($B$9:$B$16,$B18,F$9:F$16,INDEX(ShiftCodes,MATCH($A18,ShiftNames,0)))+COUNTIFS($B$9:$B$16,$B18,F$9:F$16,'الإعدادات'!$E$10))</f>
        <v/>
      </c>
      <c r="G18" s="28">
        <f>IF(OR(G$3="",$A18="",$B18=""),"",COUNTIFS($B$9:$B$16,$B18,G$9:G$16,INDEX(ShiftCodes,MATCH($A18,ShiftNames,0)))+COUNTIFS($B$9:$B$16,$B18,G$9:G$16,'الإعدادات'!$E$10))</f>
        <v/>
      </c>
      <c r="H18" s="28">
        <f>IF(OR(H$3="",$A18="",$B18=""),"",COUNTIFS($B$9:$B$16,$B18,H$9:H$16,INDEX(ShiftCodes,MATCH($A18,ShiftNames,0)))+COUNTIFS($B$9:$B$16,$B18,H$9:H$16,'الإعدادات'!$E$10))</f>
        <v/>
      </c>
      <c r="I18" s="28">
        <f>IF(OR(I$3="",$A18="",$B18=""),"",COUNTIFS($B$9:$B$16,$B18,I$9:I$16,INDEX(ShiftCodes,MATCH($A18,ShiftNames,0)))+COUNTIFS($B$9:$B$16,$B18,I$9:I$16,'الإعدادات'!$E$10))</f>
        <v/>
      </c>
      <c r="J18" s="28">
        <f>IF(OR(J$3="",$A18="",$B18=""),"",COUNTIFS($B$9:$B$16,$B18,J$9:J$16,INDEX(ShiftCodes,MATCH($A18,ShiftNames,0)))+COUNTIFS($B$9:$B$16,$B18,J$9:J$16,'الإعدادات'!$E$10))</f>
        <v/>
      </c>
      <c r="K18" s="28">
        <f>IF(OR(K$3="",$A18="",$B18=""),"",COUNTIFS($B$9:$B$16,$B18,K$9:K$16,INDEX(ShiftCodes,MATCH($A18,ShiftNames,0)))+COUNTIFS($B$9:$B$16,$B18,K$9:K$16,'الإعدادات'!$E$10))</f>
        <v/>
      </c>
      <c r="L18" s="28">
        <f>IF(OR(L$3="",$A18="",$B18=""),"",COUNTIFS($B$9:$B$16,$B18,L$9:L$16,INDEX(ShiftCodes,MATCH($A18,ShiftNames,0)))+COUNTIFS($B$9:$B$16,$B18,L$9:L$16,'الإعدادات'!$E$10))</f>
        <v/>
      </c>
      <c r="M18" s="28">
        <f>IF(OR(M$3="",$A18="",$B18=""),"",COUNTIFS($B$9:$B$16,$B18,M$9:M$16,INDEX(ShiftCodes,MATCH($A18,ShiftNames,0)))+COUNTIFS($B$9:$B$16,$B18,M$9:M$16,'الإعدادات'!$E$10))</f>
        <v/>
      </c>
      <c r="N18" s="28">
        <f>IF(OR(N$3="",$A18="",$B18=""),"",COUNTIFS($B$9:$B$16,$B18,N$9:N$16,INDEX(ShiftCodes,MATCH($A18,ShiftNames,0)))+COUNTIFS($B$9:$B$16,$B18,N$9:N$16,'الإعدادات'!$E$10))</f>
        <v/>
      </c>
      <c r="O18" s="28">
        <f>IF(OR(O$3="",$A18="",$B18=""),"",COUNTIFS($B$9:$B$16,$B18,O$9:O$16,INDEX(ShiftCodes,MATCH($A18,ShiftNames,0)))+COUNTIFS($B$9:$B$16,$B18,O$9:O$16,'الإعدادات'!$E$10))</f>
        <v/>
      </c>
      <c r="P18" s="28">
        <f>IF(OR(P$3="",$A18="",$B18=""),"",COUNTIFS($B$9:$B$16,$B18,P$9:P$16,INDEX(ShiftCodes,MATCH($A18,ShiftNames,0)))+COUNTIFS($B$9:$B$16,$B18,P$9:P$16,'الإعدادات'!$E$10))</f>
        <v/>
      </c>
      <c r="Q18" s="28">
        <f>IF(OR(Q$3="",$A18="",$B18=""),"",COUNTIFS($B$9:$B$16,$B18,Q$9:Q$16,INDEX(ShiftCodes,MATCH($A18,ShiftNames,0)))+COUNTIFS($B$9:$B$16,$B18,Q$9:Q$16,'الإعدادات'!$E$10))</f>
        <v/>
      </c>
      <c r="R18" s="28">
        <f>IF(OR(R$3="",$A18="",$B18=""),"",COUNTIFS($B$9:$B$16,$B18,R$9:R$16,INDEX(ShiftCodes,MATCH($A18,ShiftNames,0)))+COUNTIFS($B$9:$B$16,$B18,R$9:R$16,'الإعدادات'!$E$10))</f>
        <v/>
      </c>
      <c r="S18" s="28">
        <f>IF(OR(S$3="",$A18="",$B18=""),"",COUNTIFS($B$9:$B$16,$B18,S$9:S$16,INDEX(ShiftCodes,MATCH($A18,ShiftNames,0)))+COUNTIFS($B$9:$B$16,$B18,S$9:S$16,'الإعدادات'!$E$10))</f>
        <v/>
      </c>
      <c r="T18" s="28">
        <f>IF(OR(T$3="",$A18="",$B18=""),"",COUNTIFS($B$9:$B$16,$B18,T$9:T$16,INDEX(ShiftCodes,MATCH($A18,ShiftNames,0)))+COUNTIFS($B$9:$B$16,$B18,T$9:T$16,'الإعدادات'!$E$10))</f>
        <v/>
      </c>
      <c r="U18" s="28">
        <f>IF(OR(U$3="",$A18="",$B18=""),"",COUNTIFS($B$9:$B$16,$B18,U$9:U$16,INDEX(ShiftCodes,MATCH($A18,ShiftNames,0)))+COUNTIFS($B$9:$B$16,$B18,U$9:U$16,'الإعدادات'!$E$10))</f>
        <v/>
      </c>
      <c r="V18" s="28">
        <f>IF(OR(V$3="",$A18="",$B18=""),"",COUNTIFS($B$9:$B$16,$B18,V$9:V$16,INDEX(ShiftCodes,MATCH($A18,ShiftNames,0)))+COUNTIFS($B$9:$B$16,$B18,V$9:V$16,'الإعدادات'!$E$10))</f>
        <v/>
      </c>
      <c r="W18" s="28">
        <f>IF(OR(W$3="",$A18="",$B18=""),"",COUNTIFS($B$9:$B$16,$B18,W$9:W$16,INDEX(ShiftCodes,MATCH($A18,ShiftNames,0)))+COUNTIFS($B$9:$B$16,$B18,W$9:W$16,'الإعدادات'!$E$10))</f>
        <v/>
      </c>
      <c r="X18" s="28">
        <f>IF(OR(X$3="",$A18="",$B18=""),"",COUNTIFS($B$9:$B$16,$B18,X$9:X$16,INDEX(ShiftCodes,MATCH($A18,ShiftNames,0)))+COUNTIFS($B$9:$B$16,$B18,X$9:X$16,'الإعدادات'!$E$10))</f>
        <v/>
      </c>
      <c r="Y18" s="28">
        <f>IF(OR(Y$3="",$A18="",$B18=""),"",COUNTIFS($B$9:$B$16,$B18,Y$9:Y$16,INDEX(ShiftCodes,MATCH($A18,ShiftNames,0)))+COUNTIFS($B$9:$B$16,$B18,Y$9:Y$16,'الإعدادات'!$E$10))</f>
        <v/>
      </c>
      <c r="Z18" s="28">
        <f>IF(OR(Z$3="",$A18="",$B18=""),"",COUNTIFS($B$9:$B$16,$B18,Z$9:Z$16,INDEX(ShiftCodes,MATCH($A18,ShiftNames,0)))+COUNTIFS($B$9:$B$16,$B18,Z$9:Z$16,'الإعدادات'!$E$10))</f>
        <v/>
      </c>
      <c r="AA18" s="28">
        <f>IF(OR(AA$3="",$A18="",$B18=""),"",COUNTIFS($B$9:$B$16,$B18,AA$9:AA$16,INDEX(ShiftCodes,MATCH($A18,ShiftNames,0)))+COUNTIFS($B$9:$B$16,$B18,AA$9:AA$16,'الإعدادات'!$E$10))</f>
        <v/>
      </c>
      <c r="AB18" s="28">
        <f>IF(OR(AB$3="",$A18="",$B18=""),"",COUNTIFS($B$9:$B$16,$B18,AB$9:AB$16,INDEX(ShiftCodes,MATCH($A18,ShiftNames,0)))+COUNTIFS($B$9:$B$16,$B18,AB$9:AB$16,'الإعدادات'!$E$10))</f>
        <v/>
      </c>
      <c r="AC18" s="28">
        <f>IF(OR(AC$3="",$A18="",$B18=""),"",COUNTIFS($B$9:$B$16,$B18,AC$9:AC$16,INDEX(ShiftCodes,MATCH($A18,ShiftNames,0)))+COUNTIFS($B$9:$B$16,$B18,AC$9:AC$16,'الإعدادات'!$E$10))</f>
        <v/>
      </c>
      <c r="AD18" s="28">
        <f>IF(OR(AD$3="",$A18="",$B18=""),"",COUNTIFS($B$9:$B$16,$B18,AD$9:AD$16,INDEX(ShiftCodes,MATCH($A18,ShiftNames,0)))+COUNTIFS($B$9:$B$16,$B18,AD$9:AD$16,'الإعدادات'!$E$10))</f>
        <v/>
      </c>
      <c r="AE18" s="28">
        <f>IF(OR(AE$3="",$A18="",$B18=""),"",COUNTIFS($B$9:$B$16,$B18,AE$9:AE$16,INDEX(ShiftCodes,MATCH($A18,ShiftNames,0)))+COUNTIFS($B$9:$B$16,$B18,AE$9:AE$16,'الإعدادات'!$E$10))</f>
        <v/>
      </c>
      <c r="AF18" s="28">
        <f>IF(OR(AF$3="",$A18="",$B18=""),"",COUNTIFS($B$9:$B$16,$B18,AF$9:AF$16,INDEX(ShiftCodes,MATCH($A18,ShiftNames,0)))+COUNTIFS($B$9:$B$16,$B18,AF$9:AF$16,'الإعدادات'!$E$10))</f>
        <v/>
      </c>
      <c r="AG18" s="28">
        <f>IF(OR(AG$3="",$A18="",$B18=""),"",COUNTIFS($B$9:$B$16,$B18,AG$9:AG$16,INDEX(ShiftCodes,MATCH($A18,ShiftNames,0)))+COUNTIFS($B$9:$B$16,$B18,AG$9:AG$16,'الإعدادات'!$E$10))</f>
        <v/>
      </c>
      <c r="AI18" s="28">
        <f>IF(OR($A18="",$B18=""),"",SUMIFS(MinCount,MinBranch,$A$8,MinShift,$A18,MinRole,$B18))</f>
        <v/>
      </c>
    </row>
    <row r="19">
      <c r="A19" s="4" t="inlineStr">
        <is>
          <t>مسائي</t>
        </is>
      </c>
      <c r="B19" s="4" t="inlineStr">
        <is>
          <t>استقبال</t>
        </is>
      </c>
      <c r="C19" s="28">
        <f>IF(OR(C$3="",$A19="",$B19=""),"",COUNTIFS($B$9:$B$16,$B19,C$9:C$16,INDEX(ShiftCodes,MATCH($A19,ShiftNames,0)))+COUNTIFS($B$9:$B$16,$B19,C$9:C$16,'الإعدادات'!$E$10))</f>
        <v/>
      </c>
      <c r="D19" s="28">
        <f>IF(OR(D$3="",$A19="",$B19=""),"",COUNTIFS($B$9:$B$16,$B19,D$9:D$16,INDEX(ShiftCodes,MATCH($A19,ShiftNames,0)))+COUNTIFS($B$9:$B$16,$B19,D$9:D$16,'الإعدادات'!$E$10))</f>
        <v/>
      </c>
      <c r="E19" s="28">
        <f>IF(OR(E$3="",$A19="",$B19=""),"",COUNTIFS($B$9:$B$16,$B19,E$9:E$16,INDEX(ShiftCodes,MATCH($A19,ShiftNames,0)))+COUNTIFS($B$9:$B$16,$B19,E$9:E$16,'الإعدادات'!$E$10))</f>
        <v/>
      </c>
      <c r="F19" s="28">
        <f>IF(OR(F$3="",$A19="",$B19=""),"",COUNTIFS($B$9:$B$16,$B19,F$9:F$16,INDEX(ShiftCodes,MATCH($A19,ShiftNames,0)))+COUNTIFS($B$9:$B$16,$B19,F$9:F$16,'الإعدادات'!$E$10))</f>
        <v/>
      </c>
      <c r="G19" s="28">
        <f>IF(OR(G$3="",$A19="",$B19=""),"",COUNTIFS($B$9:$B$16,$B19,G$9:G$16,INDEX(ShiftCodes,MATCH($A19,ShiftNames,0)))+COUNTIFS($B$9:$B$16,$B19,G$9:G$16,'الإعدادات'!$E$10))</f>
        <v/>
      </c>
      <c r="H19" s="28">
        <f>IF(OR(H$3="",$A19="",$B19=""),"",COUNTIFS($B$9:$B$16,$B19,H$9:H$16,INDEX(ShiftCodes,MATCH($A19,ShiftNames,0)))+COUNTIFS($B$9:$B$16,$B19,H$9:H$16,'الإعدادات'!$E$10))</f>
        <v/>
      </c>
      <c r="I19" s="28">
        <f>IF(OR(I$3="",$A19="",$B19=""),"",COUNTIFS($B$9:$B$16,$B19,I$9:I$16,INDEX(ShiftCodes,MATCH($A19,ShiftNames,0)))+COUNTIFS($B$9:$B$16,$B19,I$9:I$16,'الإعدادات'!$E$10))</f>
        <v/>
      </c>
      <c r="J19" s="28">
        <f>IF(OR(J$3="",$A19="",$B19=""),"",COUNTIFS($B$9:$B$16,$B19,J$9:J$16,INDEX(ShiftCodes,MATCH($A19,ShiftNames,0)))+COUNTIFS($B$9:$B$16,$B19,J$9:J$16,'الإعدادات'!$E$10))</f>
        <v/>
      </c>
      <c r="K19" s="28">
        <f>IF(OR(K$3="",$A19="",$B19=""),"",COUNTIFS($B$9:$B$16,$B19,K$9:K$16,INDEX(ShiftCodes,MATCH($A19,ShiftNames,0)))+COUNTIFS($B$9:$B$16,$B19,K$9:K$16,'الإعدادات'!$E$10))</f>
        <v/>
      </c>
      <c r="L19" s="28">
        <f>IF(OR(L$3="",$A19="",$B19=""),"",COUNTIFS($B$9:$B$16,$B19,L$9:L$16,INDEX(ShiftCodes,MATCH($A19,ShiftNames,0)))+COUNTIFS($B$9:$B$16,$B19,L$9:L$16,'الإعدادات'!$E$10))</f>
        <v/>
      </c>
      <c r="M19" s="28">
        <f>IF(OR(M$3="",$A19="",$B19=""),"",COUNTIFS($B$9:$B$16,$B19,M$9:M$16,INDEX(ShiftCodes,MATCH($A19,ShiftNames,0)))+COUNTIFS($B$9:$B$16,$B19,M$9:M$16,'الإعدادات'!$E$10))</f>
        <v/>
      </c>
      <c r="N19" s="28">
        <f>IF(OR(N$3="",$A19="",$B19=""),"",COUNTIFS($B$9:$B$16,$B19,N$9:N$16,INDEX(ShiftCodes,MATCH($A19,ShiftNames,0)))+COUNTIFS($B$9:$B$16,$B19,N$9:N$16,'الإعدادات'!$E$10))</f>
        <v/>
      </c>
      <c r="O19" s="28">
        <f>IF(OR(O$3="",$A19="",$B19=""),"",COUNTIFS($B$9:$B$16,$B19,O$9:O$16,INDEX(ShiftCodes,MATCH($A19,ShiftNames,0)))+COUNTIFS($B$9:$B$16,$B19,O$9:O$16,'الإعدادات'!$E$10))</f>
        <v/>
      </c>
      <c r="P19" s="28">
        <f>IF(OR(P$3="",$A19="",$B19=""),"",COUNTIFS($B$9:$B$16,$B19,P$9:P$16,INDEX(ShiftCodes,MATCH($A19,ShiftNames,0)))+COUNTIFS($B$9:$B$16,$B19,P$9:P$16,'الإعدادات'!$E$10))</f>
        <v/>
      </c>
      <c r="Q19" s="28">
        <f>IF(OR(Q$3="",$A19="",$B19=""),"",COUNTIFS($B$9:$B$16,$B19,Q$9:Q$16,INDEX(ShiftCodes,MATCH($A19,ShiftNames,0)))+COUNTIFS($B$9:$B$16,$B19,Q$9:Q$16,'الإعدادات'!$E$10))</f>
        <v/>
      </c>
      <c r="R19" s="28">
        <f>IF(OR(R$3="",$A19="",$B19=""),"",COUNTIFS($B$9:$B$16,$B19,R$9:R$16,INDEX(ShiftCodes,MATCH($A19,ShiftNames,0)))+COUNTIFS($B$9:$B$16,$B19,R$9:R$16,'الإعدادات'!$E$10))</f>
        <v/>
      </c>
      <c r="S19" s="28">
        <f>IF(OR(S$3="",$A19="",$B19=""),"",COUNTIFS($B$9:$B$16,$B19,S$9:S$16,INDEX(ShiftCodes,MATCH($A19,ShiftNames,0)))+COUNTIFS($B$9:$B$16,$B19,S$9:S$16,'الإعدادات'!$E$10))</f>
        <v/>
      </c>
      <c r="T19" s="28">
        <f>IF(OR(T$3="",$A19="",$B19=""),"",COUNTIFS($B$9:$B$16,$B19,T$9:T$16,INDEX(ShiftCodes,MATCH($A19,ShiftNames,0)))+COUNTIFS($B$9:$B$16,$B19,T$9:T$16,'الإعدادات'!$E$10))</f>
        <v/>
      </c>
      <c r="U19" s="28">
        <f>IF(OR(U$3="",$A19="",$B19=""),"",COUNTIFS($B$9:$B$16,$B19,U$9:U$16,INDEX(ShiftCodes,MATCH($A19,ShiftNames,0)))+COUNTIFS($B$9:$B$16,$B19,U$9:U$16,'الإعدادات'!$E$10))</f>
        <v/>
      </c>
      <c r="V19" s="28">
        <f>IF(OR(V$3="",$A19="",$B19=""),"",COUNTIFS($B$9:$B$16,$B19,V$9:V$16,INDEX(ShiftCodes,MATCH($A19,ShiftNames,0)))+COUNTIFS($B$9:$B$16,$B19,V$9:V$16,'الإعدادات'!$E$10))</f>
        <v/>
      </c>
      <c r="W19" s="28">
        <f>IF(OR(W$3="",$A19="",$B19=""),"",COUNTIFS($B$9:$B$16,$B19,W$9:W$16,INDEX(ShiftCodes,MATCH($A19,ShiftNames,0)))+COUNTIFS($B$9:$B$16,$B19,W$9:W$16,'الإعدادات'!$E$10))</f>
        <v/>
      </c>
      <c r="X19" s="28">
        <f>IF(OR(X$3="",$A19="",$B19=""),"",COUNTIFS($B$9:$B$16,$B19,X$9:X$16,INDEX(ShiftCodes,MATCH($A19,ShiftNames,0)))+COUNTIFS($B$9:$B$16,$B19,X$9:X$16,'الإعدادات'!$E$10))</f>
        <v/>
      </c>
      <c r="Y19" s="28">
        <f>IF(OR(Y$3="",$A19="",$B19=""),"",COUNTIFS($B$9:$B$16,$B19,Y$9:Y$16,INDEX(ShiftCodes,MATCH($A19,ShiftNames,0)))+COUNTIFS($B$9:$B$16,$B19,Y$9:Y$16,'الإعدادات'!$E$10))</f>
        <v/>
      </c>
      <c r="Z19" s="28">
        <f>IF(OR(Z$3="",$A19="",$B19=""),"",COUNTIFS($B$9:$B$16,$B19,Z$9:Z$16,INDEX(ShiftCodes,MATCH($A19,ShiftNames,0)))+COUNTIFS($B$9:$B$16,$B19,Z$9:Z$16,'الإعدادات'!$E$10))</f>
        <v/>
      </c>
      <c r="AA19" s="28">
        <f>IF(OR(AA$3="",$A19="",$B19=""),"",COUNTIFS($B$9:$B$16,$B19,AA$9:AA$16,INDEX(ShiftCodes,MATCH($A19,ShiftNames,0)))+COUNTIFS($B$9:$B$16,$B19,AA$9:AA$16,'الإعدادات'!$E$10))</f>
        <v/>
      </c>
      <c r="AB19" s="28">
        <f>IF(OR(AB$3="",$A19="",$B19=""),"",COUNTIFS($B$9:$B$16,$B19,AB$9:AB$16,INDEX(ShiftCodes,MATCH($A19,ShiftNames,0)))+COUNTIFS($B$9:$B$16,$B19,AB$9:AB$16,'الإعدادات'!$E$10))</f>
        <v/>
      </c>
      <c r="AC19" s="28">
        <f>IF(OR(AC$3="",$A19="",$B19=""),"",COUNTIFS($B$9:$B$16,$B19,AC$9:AC$16,INDEX(ShiftCodes,MATCH($A19,ShiftNames,0)))+COUNTIFS($B$9:$B$16,$B19,AC$9:AC$16,'الإعدادات'!$E$10))</f>
        <v/>
      </c>
      <c r="AD19" s="28">
        <f>IF(OR(AD$3="",$A19="",$B19=""),"",COUNTIFS($B$9:$B$16,$B19,AD$9:AD$16,INDEX(ShiftCodes,MATCH($A19,ShiftNames,0)))+COUNTIFS($B$9:$B$16,$B19,AD$9:AD$16,'الإعدادات'!$E$10))</f>
        <v/>
      </c>
      <c r="AE19" s="28">
        <f>IF(OR(AE$3="",$A19="",$B19=""),"",COUNTIFS($B$9:$B$16,$B19,AE$9:AE$16,INDEX(ShiftCodes,MATCH($A19,ShiftNames,0)))+COUNTIFS($B$9:$B$16,$B19,AE$9:AE$16,'الإعدادات'!$E$10))</f>
        <v/>
      </c>
      <c r="AF19" s="28">
        <f>IF(OR(AF$3="",$A19="",$B19=""),"",COUNTIFS($B$9:$B$16,$B19,AF$9:AF$16,INDEX(ShiftCodes,MATCH($A19,ShiftNames,0)))+COUNTIFS($B$9:$B$16,$B19,AF$9:AF$16,'الإعدادات'!$E$10))</f>
        <v/>
      </c>
      <c r="AG19" s="28">
        <f>IF(OR(AG$3="",$A19="",$B19=""),"",COUNTIFS($B$9:$B$16,$B19,AG$9:AG$16,INDEX(ShiftCodes,MATCH($A19,ShiftNames,0)))+COUNTIFS($B$9:$B$16,$B19,AG$9:AG$16,'الإعدادات'!$E$10))</f>
        <v/>
      </c>
      <c r="AI19" s="28">
        <f>IF(OR($A19="",$B19=""),"",SUMIFS(MinCount,MinBranch,$A$8,MinShift,$A19,MinRole,$B19))</f>
        <v/>
      </c>
    </row>
    <row r="20">
      <c r="A20" s="4" t="inlineStr">
        <is>
          <t>صباحي</t>
        </is>
      </c>
      <c r="B20" s="4" t="inlineStr">
        <is>
          <t>تمريض</t>
        </is>
      </c>
      <c r="C20" s="28">
        <f>IF(OR(C$3="",$A20="",$B20=""),"",COUNTIFS($B$9:$B$16,$B20,C$9:C$16,INDEX(ShiftCodes,MATCH($A20,ShiftNames,0)))+COUNTIFS($B$9:$B$16,$B20,C$9:C$16,'الإعدادات'!$E$10))</f>
        <v/>
      </c>
      <c r="D20" s="28">
        <f>IF(OR(D$3="",$A20="",$B20=""),"",COUNTIFS($B$9:$B$16,$B20,D$9:D$16,INDEX(ShiftCodes,MATCH($A20,ShiftNames,0)))+COUNTIFS($B$9:$B$16,$B20,D$9:D$16,'الإعدادات'!$E$10))</f>
        <v/>
      </c>
      <c r="E20" s="28">
        <f>IF(OR(E$3="",$A20="",$B20=""),"",COUNTIFS($B$9:$B$16,$B20,E$9:E$16,INDEX(ShiftCodes,MATCH($A20,ShiftNames,0)))+COUNTIFS($B$9:$B$16,$B20,E$9:E$16,'الإعدادات'!$E$10))</f>
        <v/>
      </c>
      <c r="F20" s="28">
        <f>IF(OR(F$3="",$A20="",$B20=""),"",COUNTIFS($B$9:$B$16,$B20,F$9:F$16,INDEX(ShiftCodes,MATCH($A20,ShiftNames,0)))+COUNTIFS($B$9:$B$16,$B20,F$9:F$16,'الإعدادات'!$E$10))</f>
        <v/>
      </c>
      <c r="G20" s="28">
        <f>IF(OR(G$3="",$A20="",$B20=""),"",COUNTIFS($B$9:$B$16,$B20,G$9:G$16,INDEX(ShiftCodes,MATCH($A20,ShiftNames,0)))+COUNTIFS($B$9:$B$16,$B20,G$9:G$16,'الإعدادات'!$E$10))</f>
        <v/>
      </c>
      <c r="H20" s="28">
        <f>IF(OR(H$3="",$A20="",$B20=""),"",COUNTIFS($B$9:$B$16,$B20,H$9:H$16,INDEX(ShiftCodes,MATCH($A20,ShiftNames,0)))+COUNTIFS($B$9:$B$16,$B20,H$9:H$16,'الإعدادات'!$E$10))</f>
        <v/>
      </c>
      <c r="I20" s="28">
        <f>IF(OR(I$3="",$A20="",$B20=""),"",COUNTIFS($B$9:$B$16,$B20,I$9:I$16,INDEX(ShiftCodes,MATCH($A20,ShiftNames,0)))+COUNTIFS($B$9:$B$16,$B20,I$9:I$16,'الإعدادات'!$E$10))</f>
        <v/>
      </c>
      <c r="J20" s="28">
        <f>IF(OR(J$3="",$A20="",$B20=""),"",COUNTIFS($B$9:$B$16,$B20,J$9:J$16,INDEX(ShiftCodes,MATCH($A20,ShiftNames,0)))+COUNTIFS($B$9:$B$16,$B20,J$9:J$16,'الإعدادات'!$E$10))</f>
        <v/>
      </c>
      <c r="K20" s="28">
        <f>IF(OR(K$3="",$A20="",$B20=""),"",COUNTIFS($B$9:$B$16,$B20,K$9:K$16,INDEX(ShiftCodes,MATCH($A20,ShiftNames,0)))+COUNTIFS($B$9:$B$16,$B20,K$9:K$16,'الإعدادات'!$E$10))</f>
        <v/>
      </c>
      <c r="L20" s="28">
        <f>IF(OR(L$3="",$A20="",$B20=""),"",COUNTIFS($B$9:$B$16,$B20,L$9:L$16,INDEX(ShiftCodes,MATCH($A20,ShiftNames,0)))+COUNTIFS($B$9:$B$16,$B20,L$9:L$16,'الإعدادات'!$E$10))</f>
        <v/>
      </c>
      <c r="M20" s="28">
        <f>IF(OR(M$3="",$A20="",$B20=""),"",COUNTIFS($B$9:$B$16,$B20,M$9:M$16,INDEX(ShiftCodes,MATCH($A20,ShiftNames,0)))+COUNTIFS($B$9:$B$16,$B20,M$9:M$16,'الإعدادات'!$E$10))</f>
        <v/>
      </c>
      <c r="N20" s="28">
        <f>IF(OR(N$3="",$A20="",$B20=""),"",COUNTIFS($B$9:$B$16,$B20,N$9:N$16,INDEX(ShiftCodes,MATCH($A20,ShiftNames,0)))+COUNTIFS($B$9:$B$16,$B20,N$9:N$16,'الإعدادات'!$E$10))</f>
        <v/>
      </c>
      <c r="O20" s="28">
        <f>IF(OR(O$3="",$A20="",$B20=""),"",COUNTIFS($B$9:$B$16,$B20,O$9:O$16,INDEX(ShiftCodes,MATCH($A20,ShiftNames,0)))+COUNTIFS($B$9:$B$16,$B20,O$9:O$16,'الإعدادات'!$E$10))</f>
        <v/>
      </c>
      <c r="P20" s="28">
        <f>IF(OR(P$3="",$A20="",$B20=""),"",COUNTIFS($B$9:$B$16,$B20,P$9:P$16,INDEX(ShiftCodes,MATCH($A20,ShiftNames,0)))+COUNTIFS($B$9:$B$16,$B20,P$9:P$16,'الإعدادات'!$E$10))</f>
        <v/>
      </c>
      <c r="Q20" s="28">
        <f>IF(OR(Q$3="",$A20="",$B20=""),"",COUNTIFS($B$9:$B$16,$B20,Q$9:Q$16,INDEX(ShiftCodes,MATCH($A20,ShiftNames,0)))+COUNTIFS($B$9:$B$16,$B20,Q$9:Q$16,'الإعدادات'!$E$10))</f>
        <v/>
      </c>
      <c r="R20" s="28">
        <f>IF(OR(R$3="",$A20="",$B20=""),"",COUNTIFS($B$9:$B$16,$B20,R$9:R$16,INDEX(ShiftCodes,MATCH($A20,ShiftNames,0)))+COUNTIFS($B$9:$B$16,$B20,R$9:R$16,'الإعدادات'!$E$10))</f>
        <v/>
      </c>
      <c r="S20" s="28">
        <f>IF(OR(S$3="",$A20="",$B20=""),"",COUNTIFS($B$9:$B$16,$B20,S$9:S$16,INDEX(ShiftCodes,MATCH($A20,ShiftNames,0)))+COUNTIFS($B$9:$B$16,$B20,S$9:S$16,'الإعدادات'!$E$10))</f>
        <v/>
      </c>
      <c r="T20" s="28">
        <f>IF(OR(T$3="",$A20="",$B20=""),"",COUNTIFS($B$9:$B$16,$B20,T$9:T$16,INDEX(ShiftCodes,MATCH($A20,ShiftNames,0)))+COUNTIFS($B$9:$B$16,$B20,T$9:T$16,'الإعدادات'!$E$10))</f>
        <v/>
      </c>
      <c r="U20" s="28">
        <f>IF(OR(U$3="",$A20="",$B20=""),"",COUNTIFS($B$9:$B$16,$B20,U$9:U$16,INDEX(ShiftCodes,MATCH($A20,ShiftNames,0)))+COUNTIFS($B$9:$B$16,$B20,U$9:U$16,'الإعدادات'!$E$10))</f>
        <v/>
      </c>
      <c r="V20" s="28">
        <f>IF(OR(V$3="",$A20="",$B20=""),"",COUNTIFS($B$9:$B$16,$B20,V$9:V$16,INDEX(ShiftCodes,MATCH($A20,ShiftNames,0)))+COUNTIFS($B$9:$B$16,$B20,V$9:V$16,'الإعدادات'!$E$10))</f>
        <v/>
      </c>
      <c r="W20" s="28">
        <f>IF(OR(W$3="",$A20="",$B20=""),"",COUNTIFS($B$9:$B$16,$B20,W$9:W$16,INDEX(ShiftCodes,MATCH($A20,ShiftNames,0)))+COUNTIFS($B$9:$B$16,$B20,W$9:W$16,'الإعدادات'!$E$10))</f>
        <v/>
      </c>
      <c r="X20" s="28">
        <f>IF(OR(X$3="",$A20="",$B20=""),"",COUNTIFS($B$9:$B$16,$B20,X$9:X$16,INDEX(ShiftCodes,MATCH($A20,ShiftNames,0)))+COUNTIFS($B$9:$B$16,$B20,X$9:X$16,'الإعدادات'!$E$10))</f>
        <v/>
      </c>
      <c r="Y20" s="28">
        <f>IF(OR(Y$3="",$A20="",$B20=""),"",COUNTIFS($B$9:$B$16,$B20,Y$9:Y$16,INDEX(ShiftCodes,MATCH($A20,ShiftNames,0)))+COUNTIFS($B$9:$B$16,$B20,Y$9:Y$16,'الإعدادات'!$E$10))</f>
        <v/>
      </c>
      <c r="Z20" s="28">
        <f>IF(OR(Z$3="",$A20="",$B20=""),"",COUNTIFS($B$9:$B$16,$B20,Z$9:Z$16,INDEX(ShiftCodes,MATCH($A20,ShiftNames,0)))+COUNTIFS($B$9:$B$16,$B20,Z$9:Z$16,'الإعدادات'!$E$10))</f>
        <v/>
      </c>
      <c r="AA20" s="28">
        <f>IF(OR(AA$3="",$A20="",$B20=""),"",COUNTIFS($B$9:$B$16,$B20,AA$9:AA$16,INDEX(ShiftCodes,MATCH($A20,ShiftNames,0)))+COUNTIFS($B$9:$B$16,$B20,AA$9:AA$16,'الإعدادات'!$E$10))</f>
        <v/>
      </c>
      <c r="AB20" s="28">
        <f>IF(OR(AB$3="",$A20="",$B20=""),"",COUNTIFS($B$9:$B$16,$B20,AB$9:AB$16,INDEX(ShiftCodes,MATCH($A20,ShiftNames,0)))+COUNTIFS($B$9:$B$16,$B20,AB$9:AB$16,'الإعدادات'!$E$10))</f>
        <v/>
      </c>
      <c r="AC20" s="28">
        <f>IF(OR(AC$3="",$A20="",$B20=""),"",COUNTIFS($B$9:$B$16,$B20,AC$9:AC$16,INDEX(ShiftCodes,MATCH($A20,ShiftNames,0)))+COUNTIFS($B$9:$B$16,$B20,AC$9:AC$16,'الإعدادات'!$E$10))</f>
        <v/>
      </c>
      <c r="AD20" s="28">
        <f>IF(OR(AD$3="",$A20="",$B20=""),"",COUNTIFS($B$9:$B$16,$B20,AD$9:AD$16,INDEX(ShiftCodes,MATCH($A20,ShiftNames,0)))+COUNTIFS($B$9:$B$16,$B20,AD$9:AD$16,'الإعدادات'!$E$10))</f>
        <v/>
      </c>
      <c r="AE20" s="28">
        <f>IF(OR(AE$3="",$A20="",$B20=""),"",COUNTIFS($B$9:$B$16,$B20,AE$9:AE$16,INDEX(ShiftCodes,MATCH($A20,ShiftNames,0)))+COUNTIFS($B$9:$B$16,$B20,AE$9:AE$16,'الإعدادات'!$E$10))</f>
        <v/>
      </c>
      <c r="AF20" s="28">
        <f>IF(OR(AF$3="",$A20="",$B20=""),"",COUNTIFS($B$9:$B$16,$B20,AF$9:AF$16,INDEX(ShiftCodes,MATCH($A20,ShiftNames,0)))+COUNTIFS($B$9:$B$16,$B20,AF$9:AF$16,'الإعدادات'!$E$10))</f>
        <v/>
      </c>
      <c r="AG20" s="28">
        <f>IF(OR(AG$3="",$A20="",$B20=""),"",COUNTIFS($B$9:$B$16,$B20,AG$9:AG$16,INDEX(ShiftCodes,MATCH($A20,ShiftNames,0)))+COUNTIFS($B$9:$B$16,$B20,AG$9:AG$16,'الإعدادات'!$E$10))</f>
        <v/>
      </c>
      <c r="AI20" s="28">
        <f>IF(OR($A20="",$B20=""),"",SUMIFS(MinCount,MinBranch,$A$8,MinShift,$A20,MinRole,$B20))</f>
        <v/>
      </c>
    </row>
    <row r="21">
      <c r="A21" s="4" t="inlineStr">
        <is>
          <t>مسائي</t>
        </is>
      </c>
      <c r="B21" s="4" t="inlineStr">
        <is>
          <t>تمريض</t>
        </is>
      </c>
      <c r="C21" s="28">
        <f>IF(OR(C$3="",$A21="",$B21=""),"",COUNTIFS($B$9:$B$16,$B21,C$9:C$16,INDEX(ShiftCodes,MATCH($A21,ShiftNames,0)))+COUNTIFS($B$9:$B$16,$B21,C$9:C$16,'الإعدادات'!$E$10))</f>
        <v/>
      </c>
      <c r="D21" s="28">
        <f>IF(OR(D$3="",$A21="",$B21=""),"",COUNTIFS($B$9:$B$16,$B21,D$9:D$16,INDEX(ShiftCodes,MATCH($A21,ShiftNames,0)))+COUNTIFS($B$9:$B$16,$B21,D$9:D$16,'الإعدادات'!$E$10))</f>
        <v/>
      </c>
      <c r="E21" s="28">
        <f>IF(OR(E$3="",$A21="",$B21=""),"",COUNTIFS($B$9:$B$16,$B21,E$9:E$16,INDEX(ShiftCodes,MATCH($A21,ShiftNames,0)))+COUNTIFS($B$9:$B$16,$B21,E$9:E$16,'الإعدادات'!$E$10))</f>
        <v/>
      </c>
      <c r="F21" s="28">
        <f>IF(OR(F$3="",$A21="",$B21=""),"",COUNTIFS($B$9:$B$16,$B21,F$9:F$16,INDEX(ShiftCodes,MATCH($A21,ShiftNames,0)))+COUNTIFS($B$9:$B$16,$B21,F$9:F$16,'الإعدادات'!$E$10))</f>
        <v/>
      </c>
      <c r="G21" s="28">
        <f>IF(OR(G$3="",$A21="",$B21=""),"",COUNTIFS($B$9:$B$16,$B21,G$9:G$16,INDEX(ShiftCodes,MATCH($A21,ShiftNames,0)))+COUNTIFS($B$9:$B$16,$B21,G$9:G$16,'الإعدادات'!$E$10))</f>
        <v/>
      </c>
      <c r="H21" s="28">
        <f>IF(OR(H$3="",$A21="",$B21=""),"",COUNTIFS($B$9:$B$16,$B21,H$9:H$16,INDEX(ShiftCodes,MATCH($A21,ShiftNames,0)))+COUNTIFS($B$9:$B$16,$B21,H$9:H$16,'الإعدادات'!$E$10))</f>
        <v/>
      </c>
      <c r="I21" s="28">
        <f>IF(OR(I$3="",$A21="",$B21=""),"",COUNTIFS($B$9:$B$16,$B21,I$9:I$16,INDEX(ShiftCodes,MATCH($A21,ShiftNames,0)))+COUNTIFS($B$9:$B$16,$B21,I$9:I$16,'الإعدادات'!$E$10))</f>
        <v/>
      </c>
      <c r="J21" s="28">
        <f>IF(OR(J$3="",$A21="",$B21=""),"",COUNTIFS($B$9:$B$16,$B21,J$9:J$16,INDEX(ShiftCodes,MATCH($A21,ShiftNames,0)))+COUNTIFS($B$9:$B$16,$B21,J$9:J$16,'الإعدادات'!$E$10))</f>
        <v/>
      </c>
      <c r="K21" s="28">
        <f>IF(OR(K$3="",$A21="",$B21=""),"",COUNTIFS($B$9:$B$16,$B21,K$9:K$16,INDEX(ShiftCodes,MATCH($A21,ShiftNames,0)))+COUNTIFS($B$9:$B$16,$B21,K$9:K$16,'الإعدادات'!$E$10))</f>
        <v/>
      </c>
      <c r="L21" s="28">
        <f>IF(OR(L$3="",$A21="",$B21=""),"",COUNTIFS($B$9:$B$16,$B21,L$9:L$16,INDEX(ShiftCodes,MATCH($A21,ShiftNames,0)))+COUNTIFS($B$9:$B$16,$B21,L$9:L$16,'الإعدادات'!$E$10))</f>
        <v/>
      </c>
      <c r="M21" s="28">
        <f>IF(OR(M$3="",$A21="",$B21=""),"",COUNTIFS($B$9:$B$16,$B21,M$9:M$16,INDEX(ShiftCodes,MATCH($A21,ShiftNames,0)))+COUNTIFS($B$9:$B$16,$B21,M$9:M$16,'الإعدادات'!$E$10))</f>
        <v/>
      </c>
      <c r="N21" s="28">
        <f>IF(OR(N$3="",$A21="",$B21=""),"",COUNTIFS($B$9:$B$16,$B21,N$9:N$16,INDEX(ShiftCodes,MATCH($A21,ShiftNames,0)))+COUNTIFS($B$9:$B$16,$B21,N$9:N$16,'الإعدادات'!$E$10))</f>
        <v/>
      </c>
      <c r="O21" s="28">
        <f>IF(OR(O$3="",$A21="",$B21=""),"",COUNTIFS($B$9:$B$16,$B21,O$9:O$16,INDEX(ShiftCodes,MATCH($A21,ShiftNames,0)))+COUNTIFS($B$9:$B$16,$B21,O$9:O$16,'الإعدادات'!$E$10))</f>
        <v/>
      </c>
      <c r="P21" s="28">
        <f>IF(OR(P$3="",$A21="",$B21=""),"",COUNTIFS($B$9:$B$16,$B21,P$9:P$16,INDEX(ShiftCodes,MATCH($A21,ShiftNames,0)))+COUNTIFS($B$9:$B$16,$B21,P$9:P$16,'الإعدادات'!$E$10))</f>
        <v/>
      </c>
      <c r="Q21" s="28">
        <f>IF(OR(Q$3="",$A21="",$B21=""),"",COUNTIFS($B$9:$B$16,$B21,Q$9:Q$16,INDEX(ShiftCodes,MATCH($A21,ShiftNames,0)))+COUNTIFS($B$9:$B$16,$B21,Q$9:Q$16,'الإعدادات'!$E$10))</f>
        <v/>
      </c>
      <c r="R21" s="28">
        <f>IF(OR(R$3="",$A21="",$B21=""),"",COUNTIFS($B$9:$B$16,$B21,R$9:R$16,INDEX(ShiftCodes,MATCH($A21,ShiftNames,0)))+COUNTIFS($B$9:$B$16,$B21,R$9:R$16,'الإعدادات'!$E$10))</f>
        <v/>
      </c>
      <c r="S21" s="28">
        <f>IF(OR(S$3="",$A21="",$B21=""),"",COUNTIFS($B$9:$B$16,$B21,S$9:S$16,INDEX(ShiftCodes,MATCH($A21,ShiftNames,0)))+COUNTIFS($B$9:$B$16,$B21,S$9:S$16,'الإعدادات'!$E$10))</f>
        <v/>
      </c>
      <c r="T21" s="28">
        <f>IF(OR(T$3="",$A21="",$B21=""),"",COUNTIFS($B$9:$B$16,$B21,T$9:T$16,INDEX(ShiftCodes,MATCH($A21,ShiftNames,0)))+COUNTIFS($B$9:$B$16,$B21,T$9:T$16,'الإعدادات'!$E$10))</f>
        <v/>
      </c>
      <c r="U21" s="28">
        <f>IF(OR(U$3="",$A21="",$B21=""),"",COUNTIFS($B$9:$B$16,$B21,U$9:U$16,INDEX(ShiftCodes,MATCH($A21,ShiftNames,0)))+COUNTIFS($B$9:$B$16,$B21,U$9:U$16,'الإعدادات'!$E$10))</f>
        <v/>
      </c>
      <c r="V21" s="28">
        <f>IF(OR(V$3="",$A21="",$B21=""),"",COUNTIFS($B$9:$B$16,$B21,V$9:V$16,INDEX(ShiftCodes,MATCH($A21,ShiftNames,0)))+COUNTIFS($B$9:$B$16,$B21,V$9:V$16,'الإعدادات'!$E$10))</f>
        <v/>
      </c>
      <c r="W21" s="28">
        <f>IF(OR(W$3="",$A21="",$B21=""),"",COUNTIFS($B$9:$B$16,$B21,W$9:W$16,INDEX(ShiftCodes,MATCH($A21,ShiftNames,0)))+COUNTIFS($B$9:$B$16,$B21,W$9:W$16,'الإعدادات'!$E$10))</f>
        <v/>
      </c>
      <c r="X21" s="28">
        <f>IF(OR(X$3="",$A21="",$B21=""),"",COUNTIFS($B$9:$B$16,$B21,X$9:X$16,INDEX(ShiftCodes,MATCH($A21,ShiftNames,0)))+COUNTIFS($B$9:$B$16,$B21,X$9:X$16,'الإعدادات'!$E$10))</f>
        <v/>
      </c>
      <c r="Y21" s="28">
        <f>IF(OR(Y$3="",$A21="",$B21=""),"",COUNTIFS($B$9:$B$16,$B21,Y$9:Y$16,INDEX(ShiftCodes,MATCH($A21,ShiftNames,0)))+COUNTIFS($B$9:$B$16,$B21,Y$9:Y$16,'الإعدادات'!$E$10))</f>
        <v/>
      </c>
      <c r="Z21" s="28">
        <f>IF(OR(Z$3="",$A21="",$B21=""),"",COUNTIFS($B$9:$B$16,$B21,Z$9:Z$16,INDEX(ShiftCodes,MATCH($A21,ShiftNames,0)))+COUNTIFS($B$9:$B$16,$B21,Z$9:Z$16,'الإعدادات'!$E$10))</f>
        <v/>
      </c>
      <c r="AA21" s="28">
        <f>IF(OR(AA$3="",$A21="",$B21=""),"",COUNTIFS($B$9:$B$16,$B21,AA$9:AA$16,INDEX(ShiftCodes,MATCH($A21,ShiftNames,0)))+COUNTIFS($B$9:$B$16,$B21,AA$9:AA$16,'الإعدادات'!$E$10))</f>
        <v/>
      </c>
      <c r="AB21" s="28">
        <f>IF(OR(AB$3="",$A21="",$B21=""),"",COUNTIFS($B$9:$B$16,$B21,AB$9:AB$16,INDEX(ShiftCodes,MATCH($A21,ShiftNames,0)))+COUNTIFS($B$9:$B$16,$B21,AB$9:AB$16,'الإعدادات'!$E$10))</f>
        <v/>
      </c>
      <c r="AC21" s="28">
        <f>IF(OR(AC$3="",$A21="",$B21=""),"",COUNTIFS($B$9:$B$16,$B21,AC$9:AC$16,INDEX(ShiftCodes,MATCH($A21,ShiftNames,0)))+COUNTIFS($B$9:$B$16,$B21,AC$9:AC$16,'الإعدادات'!$E$10))</f>
        <v/>
      </c>
      <c r="AD21" s="28">
        <f>IF(OR(AD$3="",$A21="",$B21=""),"",COUNTIFS($B$9:$B$16,$B21,AD$9:AD$16,INDEX(ShiftCodes,MATCH($A21,ShiftNames,0)))+COUNTIFS($B$9:$B$16,$B21,AD$9:AD$16,'الإعدادات'!$E$10))</f>
        <v/>
      </c>
      <c r="AE21" s="28">
        <f>IF(OR(AE$3="",$A21="",$B21=""),"",COUNTIFS($B$9:$B$16,$B21,AE$9:AE$16,INDEX(ShiftCodes,MATCH($A21,ShiftNames,0)))+COUNTIFS($B$9:$B$16,$B21,AE$9:AE$16,'الإعدادات'!$E$10))</f>
        <v/>
      </c>
      <c r="AF21" s="28">
        <f>IF(OR(AF$3="",$A21="",$B21=""),"",COUNTIFS($B$9:$B$16,$B21,AF$9:AF$16,INDEX(ShiftCodes,MATCH($A21,ShiftNames,0)))+COUNTIFS($B$9:$B$16,$B21,AF$9:AF$16,'الإعدادات'!$E$10))</f>
        <v/>
      </c>
      <c r="AG21" s="28">
        <f>IF(OR(AG$3="",$A21="",$B21=""),"",COUNTIFS($B$9:$B$16,$B21,AG$9:AG$16,INDEX(ShiftCodes,MATCH($A21,ShiftNames,0)))+COUNTIFS($B$9:$B$16,$B21,AG$9:AG$16,'الإعدادات'!$E$10))</f>
        <v/>
      </c>
      <c r="AI21" s="28">
        <f>IF(OR($A21="",$B21=""),"",SUMIFS(MinCount,MinBranch,$A$8,MinShift,$A21,MinRole,$B21))</f>
        <v/>
      </c>
    </row>
    <row r="22">
      <c r="A22" s="4" t="inlineStr">
        <is>
          <t>صباحي</t>
        </is>
      </c>
      <c r="B22" s="4" t="inlineStr">
        <is>
          <t>مساعد</t>
        </is>
      </c>
      <c r="C22" s="28">
        <f>IF(OR(C$3="",$A22="",$B22=""),"",COUNTIFS($B$9:$B$16,$B22,C$9:C$16,INDEX(ShiftCodes,MATCH($A22,ShiftNames,0)))+COUNTIFS($B$9:$B$16,$B22,C$9:C$16,'الإعدادات'!$E$10))</f>
        <v/>
      </c>
      <c r="D22" s="28">
        <f>IF(OR(D$3="",$A22="",$B22=""),"",COUNTIFS($B$9:$B$16,$B22,D$9:D$16,INDEX(ShiftCodes,MATCH($A22,ShiftNames,0)))+COUNTIFS($B$9:$B$16,$B22,D$9:D$16,'الإعدادات'!$E$10))</f>
        <v/>
      </c>
      <c r="E22" s="28">
        <f>IF(OR(E$3="",$A22="",$B22=""),"",COUNTIFS($B$9:$B$16,$B22,E$9:E$16,INDEX(ShiftCodes,MATCH($A22,ShiftNames,0)))+COUNTIFS($B$9:$B$16,$B22,E$9:E$16,'الإعدادات'!$E$10))</f>
        <v/>
      </c>
      <c r="F22" s="28">
        <f>IF(OR(F$3="",$A22="",$B22=""),"",COUNTIFS($B$9:$B$16,$B22,F$9:F$16,INDEX(ShiftCodes,MATCH($A22,ShiftNames,0)))+COUNTIFS($B$9:$B$16,$B22,F$9:F$16,'الإعدادات'!$E$10))</f>
        <v/>
      </c>
      <c r="G22" s="28">
        <f>IF(OR(G$3="",$A22="",$B22=""),"",COUNTIFS($B$9:$B$16,$B22,G$9:G$16,INDEX(ShiftCodes,MATCH($A22,ShiftNames,0)))+COUNTIFS($B$9:$B$16,$B22,G$9:G$16,'الإعدادات'!$E$10))</f>
        <v/>
      </c>
      <c r="H22" s="28">
        <f>IF(OR(H$3="",$A22="",$B22=""),"",COUNTIFS($B$9:$B$16,$B22,H$9:H$16,INDEX(ShiftCodes,MATCH($A22,ShiftNames,0)))+COUNTIFS($B$9:$B$16,$B22,H$9:H$16,'الإعدادات'!$E$10))</f>
        <v/>
      </c>
      <c r="I22" s="28">
        <f>IF(OR(I$3="",$A22="",$B22=""),"",COUNTIFS($B$9:$B$16,$B22,I$9:I$16,INDEX(ShiftCodes,MATCH($A22,ShiftNames,0)))+COUNTIFS($B$9:$B$16,$B22,I$9:I$16,'الإعدادات'!$E$10))</f>
        <v/>
      </c>
      <c r="J22" s="28">
        <f>IF(OR(J$3="",$A22="",$B22=""),"",COUNTIFS($B$9:$B$16,$B22,J$9:J$16,INDEX(ShiftCodes,MATCH($A22,ShiftNames,0)))+COUNTIFS($B$9:$B$16,$B22,J$9:J$16,'الإعدادات'!$E$10))</f>
        <v/>
      </c>
      <c r="K22" s="28">
        <f>IF(OR(K$3="",$A22="",$B22=""),"",COUNTIFS($B$9:$B$16,$B22,K$9:K$16,INDEX(ShiftCodes,MATCH($A22,ShiftNames,0)))+COUNTIFS($B$9:$B$16,$B22,K$9:K$16,'الإعدادات'!$E$10))</f>
        <v/>
      </c>
      <c r="L22" s="28">
        <f>IF(OR(L$3="",$A22="",$B22=""),"",COUNTIFS($B$9:$B$16,$B22,L$9:L$16,INDEX(ShiftCodes,MATCH($A22,ShiftNames,0)))+COUNTIFS($B$9:$B$16,$B22,L$9:L$16,'الإعدادات'!$E$10))</f>
        <v/>
      </c>
      <c r="M22" s="28">
        <f>IF(OR(M$3="",$A22="",$B22=""),"",COUNTIFS($B$9:$B$16,$B22,M$9:M$16,INDEX(ShiftCodes,MATCH($A22,ShiftNames,0)))+COUNTIFS($B$9:$B$16,$B22,M$9:M$16,'الإعدادات'!$E$10))</f>
        <v/>
      </c>
      <c r="N22" s="28">
        <f>IF(OR(N$3="",$A22="",$B22=""),"",COUNTIFS($B$9:$B$16,$B22,N$9:N$16,INDEX(ShiftCodes,MATCH($A22,ShiftNames,0)))+COUNTIFS($B$9:$B$16,$B22,N$9:N$16,'الإعدادات'!$E$10))</f>
        <v/>
      </c>
      <c r="O22" s="28">
        <f>IF(OR(O$3="",$A22="",$B22=""),"",COUNTIFS($B$9:$B$16,$B22,O$9:O$16,INDEX(ShiftCodes,MATCH($A22,ShiftNames,0)))+COUNTIFS($B$9:$B$16,$B22,O$9:O$16,'الإعدادات'!$E$10))</f>
        <v/>
      </c>
      <c r="P22" s="28">
        <f>IF(OR(P$3="",$A22="",$B22=""),"",COUNTIFS($B$9:$B$16,$B22,P$9:P$16,INDEX(ShiftCodes,MATCH($A22,ShiftNames,0)))+COUNTIFS($B$9:$B$16,$B22,P$9:P$16,'الإعدادات'!$E$10))</f>
        <v/>
      </c>
      <c r="Q22" s="28">
        <f>IF(OR(Q$3="",$A22="",$B22=""),"",COUNTIFS($B$9:$B$16,$B22,Q$9:Q$16,INDEX(ShiftCodes,MATCH($A22,ShiftNames,0)))+COUNTIFS($B$9:$B$16,$B22,Q$9:Q$16,'الإعدادات'!$E$10))</f>
        <v/>
      </c>
      <c r="R22" s="28">
        <f>IF(OR(R$3="",$A22="",$B22=""),"",COUNTIFS($B$9:$B$16,$B22,R$9:R$16,INDEX(ShiftCodes,MATCH($A22,ShiftNames,0)))+COUNTIFS($B$9:$B$16,$B22,R$9:R$16,'الإعدادات'!$E$10))</f>
        <v/>
      </c>
      <c r="S22" s="28">
        <f>IF(OR(S$3="",$A22="",$B22=""),"",COUNTIFS($B$9:$B$16,$B22,S$9:S$16,INDEX(ShiftCodes,MATCH($A22,ShiftNames,0)))+COUNTIFS($B$9:$B$16,$B22,S$9:S$16,'الإعدادات'!$E$10))</f>
        <v/>
      </c>
      <c r="T22" s="28">
        <f>IF(OR(T$3="",$A22="",$B22=""),"",COUNTIFS($B$9:$B$16,$B22,T$9:T$16,INDEX(ShiftCodes,MATCH($A22,ShiftNames,0)))+COUNTIFS($B$9:$B$16,$B22,T$9:T$16,'الإعدادات'!$E$10))</f>
        <v/>
      </c>
      <c r="U22" s="28">
        <f>IF(OR(U$3="",$A22="",$B22=""),"",COUNTIFS($B$9:$B$16,$B22,U$9:U$16,INDEX(ShiftCodes,MATCH($A22,ShiftNames,0)))+COUNTIFS($B$9:$B$16,$B22,U$9:U$16,'الإعدادات'!$E$10))</f>
        <v/>
      </c>
      <c r="V22" s="28">
        <f>IF(OR(V$3="",$A22="",$B22=""),"",COUNTIFS($B$9:$B$16,$B22,V$9:V$16,INDEX(ShiftCodes,MATCH($A22,ShiftNames,0)))+COUNTIFS($B$9:$B$16,$B22,V$9:V$16,'الإعدادات'!$E$10))</f>
        <v/>
      </c>
      <c r="W22" s="28">
        <f>IF(OR(W$3="",$A22="",$B22=""),"",COUNTIFS($B$9:$B$16,$B22,W$9:W$16,INDEX(ShiftCodes,MATCH($A22,ShiftNames,0)))+COUNTIFS($B$9:$B$16,$B22,W$9:W$16,'الإعدادات'!$E$10))</f>
        <v/>
      </c>
      <c r="X22" s="28">
        <f>IF(OR(X$3="",$A22="",$B22=""),"",COUNTIFS($B$9:$B$16,$B22,X$9:X$16,INDEX(ShiftCodes,MATCH($A22,ShiftNames,0)))+COUNTIFS($B$9:$B$16,$B22,X$9:X$16,'الإعدادات'!$E$10))</f>
        <v/>
      </c>
      <c r="Y22" s="28">
        <f>IF(OR(Y$3="",$A22="",$B22=""),"",COUNTIFS($B$9:$B$16,$B22,Y$9:Y$16,INDEX(ShiftCodes,MATCH($A22,ShiftNames,0)))+COUNTIFS($B$9:$B$16,$B22,Y$9:Y$16,'الإعدادات'!$E$10))</f>
        <v/>
      </c>
      <c r="Z22" s="28">
        <f>IF(OR(Z$3="",$A22="",$B22=""),"",COUNTIFS($B$9:$B$16,$B22,Z$9:Z$16,INDEX(ShiftCodes,MATCH($A22,ShiftNames,0)))+COUNTIFS($B$9:$B$16,$B22,Z$9:Z$16,'الإعدادات'!$E$10))</f>
        <v/>
      </c>
      <c r="AA22" s="28">
        <f>IF(OR(AA$3="",$A22="",$B22=""),"",COUNTIFS($B$9:$B$16,$B22,AA$9:AA$16,INDEX(ShiftCodes,MATCH($A22,ShiftNames,0)))+COUNTIFS($B$9:$B$16,$B22,AA$9:AA$16,'الإعدادات'!$E$10))</f>
        <v/>
      </c>
      <c r="AB22" s="28">
        <f>IF(OR(AB$3="",$A22="",$B22=""),"",COUNTIFS($B$9:$B$16,$B22,AB$9:AB$16,INDEX(ShiftCodes,MATCH($A22,ShiftNames,0)))+COUNTIFS($B$9:$B$16,$B22,AB$9:AB$16,'الإعدادات'!$E$10))</f>
        <v/>
      </c>
      <c r="AC22" s="28">
        <f>IF(OR(AC$3="",$A22="",$B22=""),"",COUNTIFS($B$9:$B$16,$B22,AC$9:AC$16,INDEX(ShiftCodes,MATCH($A22,ShiftNames,0)))+COUNTIFS($B$9:$B$16,$B22,AC$9:AC$16,'الإعدادات'!$E$10))</f>
        <v/>
      </c>
      <c r="AD22" s="28">
        <f>IF(OR(AD$3="",$A22="",$B22=""),"",COUNTIFS($B$9:$B$16,$B22,AD$9:AD$16,INDEX(ShiftCodes,MATCH($A22,ShiftNames,0)))+COUNTIFS($B$9:$B$16,$B22,AD$9:AD$16,'الإعدادات'!$E$10))</f>
        <v/>
      </c>
      <c r="AE22" s="28">
        <f>IF(OR(AE$3="",$A22="",$B22=""),"",COUNTIFS($B$9:$B$16,$B22,AE$9:AE$16,INDEX(ShiftCodes,MATCH($A22,ShiftNames,0)))+COUNTIFS($B$9:$B$16,$B22,AE$9:AE$16,'الإعدادات'!$E$10))</f>
        <v/>
      </c>
      <c r="AF22" s="28">
        <f>IF(OR(AF$3="",$A22="",$B22=""),"",COUNTIFS($B$9:$B$16,$B22,AF$9:AF$16,INDEX(ShiftCodes,MATCH($A22,ShiftNames,0)))+COUNTIFS($B$9:$B$16,$B22,AF$9:AF$16,'الإعدادات'!$E$10))</f>
        <v/>
      </c>
      <c r="AG22" s="28">
        <f>IF(OR(AG$3="",$A22="",$B22=""),"",COUNTIFS($B$9:$B$16,$B22,AG$9:AG$16,INDEX(ShiftCodes,MATCH($A22,ShiftNames,0)))+COUNTIFS($B$9:$B$16,$B22,AG$9:AG$16,'الإعدادات'!$E$10))</f>
        <v/>
      </c>
      <c r="AI22" s="28">
        <f>IF(OR($A22="",$B22=""),"",SUMIFS(MinCount,MinBranch,$A$8,MinShift,$A22,MinRole,$B22))</f>
        <v/>
      </c>
    </row>
    <row r="23">
      <c r="A23" s="4" t="inlineStr">
        <is>
          <t>مسائي</t>
        </is>
      </c>
      <c r="B23" s="4" t="inlineStr">
        <is>
          <t>مساعد</t>
        </is>
      </c>
      <c r="C23" s="28">
        <f>IF(OR(C$3="",$A23="",$B23=""),"",COUNTIFS($B$9:$B$16,$B23,C$9:C$16,INDEX(ShiftCodes,MATCH($A23,ShiftNames,0)))+COUNTIFS($B$9:$B$16,$B23,C$9:C$16,'الإعدادات'!$E$10))</f>
        <v/>
      </c>
      <c r="D23" s="28">
        <f>IF(OR(D$3="",$A23="",$B23=""),"",COUNTIFS($B$9:$B$16,$B23,D$9:D$16,INDEX(ShiftCodes,MATCH($A23,ShiftNames,0)))+COUNTIFS($B$9:$B$16,$B23,D$9:D$16,'الإعدادات'!$E$10))</f>
        <v/>
      </c>
      <c r="E23" s="28">
        <f>IF(OR(E$3="",$A23="",$B23=""),"",COUNTIFS($B$9:$B$16,$B23,E$9:E$16,INDEX(ShiftCodes,MATCH($A23,ShiftNames,0)))+COUNTIFS($B$9:$B$16,$B23,E$9:E$16,'الإعدادات'!$E$10))</f>
        <v/>
      </c>
      <c r="F23" s="28">
        <f>IF(OR(F$3="",$A23="",$B23=""),"",COUNTIFS($B$9:$B$16,$B23,F$9:F$16,INDEX(ShiftCodes,MATCH($A23,ShiftNames,0)))+COUNTIFS($B$9:$B$16,$B23,F$9:F$16,'الإعدادات'!$E$10))</f>
        <v/>
      </c>
      <c r="G23" s="28">
        <f>IF(OR(G$3="",$A23="",$B23=""),"",COUNTIFS($B$9:$B$16,$B23,G$9:G$16,INDEX(ShiftCodes,MATCH($A23,ShiftNames,0)))+COUNTIFS($B$9:$B$16,$B23,G$9:G$16,'الإعدادات'!$E$10))</f>
        <v/>
      </c>
      <c r="H23" s="28">
        <f>IF(OR(H$3="",$A23="",$B23=""),"",COUNTIFS($B$9:$B$16,$B23,H$9:H$16,INDEX(ShiftCodes,MATCH($A23,ShiftNames,0)))+COUNTIFS($B$9:$B$16,$B23,H$9:H$16,'الإعدادات'!$E$10))</f>
        <v/>
      </c>
      <c r="I23" s="28">
        <f>IF(OR(I$3="",$A23="",$B23=""),"",COUNTIFS($B$9:$B$16,$B23,I$9:I$16,INDEX(ShiftCodes,MATCH($A23,ShiftNames,0)))+COUNTIFS($B$9:$B$16,$B23,I$9:I$16,'الإعدادات'!$E$10))</f>
        <v/>
      </c>
      <c r="J23" s="28">
        <f>IF(OR(J$3="",$A23="",$B23=""),"",COUNTIFS($B$9:$B$16,$B23,J$9:J$16,INDEX(ShiftCodes,MATCH($A23,ShiftNames,0)))+COUNTIFS($B$9:$B$16,$B23,J$9:J$16,'الإعدادات'!$E$10))</f>
        <v/>
      </c>
      <c r="K23" s="28">
        <f>IF(OR(K$3="",$A23="",$B23=""),"",COUNTIFS($B$9:$B$16,$B23,K$9:K$16,INDEX(ShiftCodes,MATCH($A23,ShiftNames,0)))+COUNTIFS($B$9:$B$16,$B23,K$9:K$16,'الإعدادات'!$E$10))</f>
        <v/>
      </c>
      <c r="L23" s="28">
        <f>IF(OR(L$3="",$A23="",$B23=""),"",COUNTIFS($B$9:$B$16,$B23,L$9:L$16,INDEX(ShiftCodes,MATCH($A23,ShiftNames,0)))+COUNTIFS($B$9:$B$16,$B23,L$9:L$16,'الإعدادات'!$E$10))</f>
        <v/>
      </c>
      <c r="M23" s="28">
        <f>IF(OR(M$3="",$A23="",$B23=""),"",COUNTIFS($B$9:$B$16,$B23,M$9:M$16,INDEX(ShiftCodes,MATCH($A23,ShiftNames,0)))+COUNTIFS($B$9:$B$16,$B23,M$9:M$16,'الإعدادات'!$E$10))</f>
        <v/>
      </c>
      <c r="N23" s="28">
        <f>IF(OR(N$3="",$A23="",$B23=""),"",COUNTIFS($B$9:$B$16,$B23,N$9:N$16,INDEX(ShiftCodes,MATCH($A23,ShiftNames,0)))+COUNTIFS($B$9:$B$16,$B23,N$9:N$16,'الإعدادات'!$E$10))</f>
        <v/>
      </c>
      <c r="O23" s="28">
        <f>IF(OR(O$3="",$A23="",$B23=""),"",COUNTIFS($B$9:$B$16,$B23,O$9:O$16,INDEX(ShiftCodes,MATCH($A23,ShiftNames,0)))+COUNTIFS($B$9:$B$16,$B23,O$9:O$16,'الإعدادات'!$E$10))</f>
        <v/>
      </c>
      <c r="P23" s="28">
        <f>IF(OR(P$3="",$A23="",$B23=""),"",COUNTIFS($B$9:$B$16,$B23,P$9:P$16,INDEX(ShiftCodes,MATCH($A23,ShiftNames,0)))+COUNTIFS($B$9:$B$16,$B23,P$9:P$16,'الإعدادات'!$E$10))</f>
        <v/>
      </c>
      <c r="Q23" s="28">
        <f>IF(OR(Q$3="",$A23="",$B23=""),"",COUNTIFS($B$9:$B$16,$B23,Q$9:Q$16,INDEX(ShiftCodes,MATCH($A23,ShiftNames,0)))+COUNTIFS($B$9:$B$16,$B23,Q$9:Q$16,'الإعدادات'!$E$10))</f>
        <v/>
      </c>
      <c r="R23" s="28">
        <f>IF(OR(R$3="",$A23="",$B23=""),"",COUNTIFS($B$9:$B$16,$B23,R$9:R$16,INDEX(ShiftCodes,MATCH($A23,ShiftNames,0)))+COUNTIFS($B$9:$B$16,$B23,R$9:R$16,'الإعدادات'!$E$10))</f>
        <v/>
      </c>
      <c r="S23" s="28">
        <f>IF(OR(S$3="",$A23="",$B23=""),"",COUNTIFS($B$9:$B$16,$B23,S$9:S$16,INDEX(ShiftCodes,MATCH($A23,ShiftNames,0)))+COUNTIFS($B$9:$B$16,$B23,S$9:S$16,'الإعدادات'!$E$10))</f>
        <v/>
      </c>
      <c r="T23" s="28">
        <f>IF(OR(T$3="",$A23="",$B23=""),"",COUNTIFS($B$9:$B$16,$B23,T$9:T$16,INDEX(ShiftCodes,MATCH($A23,ShiftNames,0)))+COUNTIFS($B$9:$B$16,$B23,T$9:T$16,'الإعدادات'!$E$10))</f>
        <v/>
      </c>
      <c r="U23" s="28">
        <f>IF(OR(U$3="",$A23="",$B23=""),"",COUNTIFS($B$9:$B$16,$B23,U$9:U$16,INDEX(ShiftCodes,MATCH($A23,ShiftNames,0)))+COUNTIFS($B$9:$B$16,$B23,U$9:U$16,'الإعدادات'!$E$10))</f>
        <v/>
      </c>
      <c r="V23" s="28">
        <f>IF(OR(V$3="",$A23="",$B23=""),"",COUNTIFS($B$9:$B$16,$B23,V$9:V$16,INDEX(ShiftCodes,MATCH($A23,ShiftNames,0)))+COUNTIFS($B$9:$B$16,$B23,V$9:V$16,'الإعدادات'!$E$10))</f>
        <v/>
      </c>
      <c r="W23" s="28">
        <f>IF(OR(W$3="",$A23="",$B23=""),"",COUNTIFS($B$9:$B$16,$B23,W$9:W$16,INDEX(ShiftCodes,MATCH($A23,ShiftNames,0)))+COUNTIFS($B$9:$B$16,$B23,W$9:W$16,'الإعدادات'!$E$10))</f>
        <v/>
      </c>
      <c r="X23" s="28">
        <f>IF(OR(X$3="",$A23="",$B23=""),"",COUNTIFS($B$9:$B$16,$B23,X$9:X$16,INDEX(ShiftCodes,MATCH($A23,ShiftNames,0)))+COUNTIFS($B$9:$B$16,$B23,X$9:X$16,'الإعدادات'!$E$10))</f>
        <v/>
      </c>
      <c r="Y23" s="28">
        <f>IF(OR(Y$3="",$A23="",$B23=""),"",COUNTIFS($B$9:$B$16,$B23,Y$9:Y$16,INDEX(ShiftCodes,MATCH($A23,ShiftNames,0)))+COUNTIFS($B$9:$B$16,$B23,Y$9:Y$16,'الإعدادات'!$E$10))</f>
        <v/>
      </c>
      <c r="Z23" s="28">
        <f>IF(OR(Z$3="",$A23="",$B23=""),"",COUNTIFS($B$9:$B$16,$B23,Z$9:Z$16,INDEX(ShiftCodes,MATCH($A23,ShiftNames,0)))+COUNTIFS($B$9:$B$16,$B23,Z$9:Z$16,'الإعدادات'!$E$10))</f>
        <v/>
      </c>
      <c r="AA23" s="28">
        <f>IF(OR(AA$3="",$A23="",$B23=""),"",COUNTIFS($B$9:$B$16,$B23,AA$9:AA$16,INDEX(ShiftCodes,MATCH($A23,ShiftNames,0)))+COUNTIFS($B$9:$B$16,$B23,AA$9:AA$16,'الإعدادات'!$E$10))</f>
        <v/>
      </c>
      <c r="AB23" s="28">
        <f>IF(OR(AB$3="",$A23="",$B23=""),"",COUNTIFS($B$9:$B$16,$B23,AB$9:AB$16,INDEX(ShiftCodes,MATCH($A23,ShiftNames,0)))+COUNTIFS($B$9:$B$16,$B23,AB$9:AB$16,'الإعدادات'!$E$10))</f>
        <v/>
      </c>
      <c r="AC23" s="28">
        <f>IF(OR(AC$3="",$A23="",$B23=""),"",COUNTIFS($B$9:$B$16,$B23,AC$9:AC$16,INDEX(ShiftCodes,MATCH($A23,ShiftNames,0)))+COUNTIFS($B$9:$B$16,$B23,AC$9:AC$16,'الإعدادات'!$E$10))</f>
        <v/>
      </c>
      <c r="AD23" s="28">
        <f>IF(OR(AD$3="",$A23="",$B23=""),"",COUNTIFS($B$9:$B$16,$B23,AD$9:AD$16,INDEX(ShiftCodes,MATCH($A23,ShiftNames,0)))+COUNTIFS($B$9:$B$16,$B23,AD$9:AD$16,'الإعدادات'!$E$10))</f>
        <v/>
      </c>
      <c r="AE23" s="28">
        <f>IF(OR(AE$3="",$A23="",$B23=""),"",COUNTIFS($B$9:$B$16,$B23,AE$9:AE$16,INDEX(ShiftCodes,MATCH($A23,ShiftNames,0)))+COUNTIFS($B$9:$B$16,$B23,AE$9:AE$16,'الإعدادات'!$E$10))</f>
        <v/>
      </c>
      <c r="AF23" s="28">
        <f>IF(OR(AF$3="",$A23="",$B23=""),"",COUNTIFS($B$9:$B$16,$B23,AF$9:AF$16,INDEX(ShiftCodes,MATCH($A23,ShiftNames,0)))+COUNTIFS($B$9:$B$16,$B23,AF$9:AF$16,'الإعدادات'!$E$10))</f>
        <v/>
      </c>
      <c r="AG23" s="28">
        <f>IF(OR(AG$3="",$A23="",$B23=""),"",COUNTIFS($B$9:$B$16,$B23,AG$9:AG$16,INDEX(ShiftCodes,MATCH($A23,ShiftNames,0)))+COUNTIFS($B$9:$B$16,$B23,AG$9:AG$16,'الإعدادات'!$E$10))</f>
        <v/>
      </c>
      <c r="AI23" s="28">
        <f>IF(OR($A23="",$B23=""),"",SUMIFS(MinCount,MinBranch,$A$8,MinShift,$A23,MinRole,$B23))</f>
        <v/>
      </c>
    </row>
    <row r="25">
      <c r="A25" s="3">
        <f>'خطة الورديات'!A17</f>
        <v/>
      </c>
      <c r="B25" s="3" t="inlineStr">
        <is>
          <t>الوظيفة</t>
        </is>
      </c>
    </row>
    <row r="26">
      <c r="A26" s="8">
        <f>IF('خطة الورديات'!A18="","",'خطة الورديات'!A18)</f>
        <v/>
      </c>
      <c r="B26" s="8">
        <f>IF(A26="","",IFERROR(INDEX(StaffRole,MATCH(A26,Staff,0)),""))</f>
        <v/>
      </c>
      <c r="C26" s="33">
        <f>IF(OR(C$3="",$A26=""),"",IF(AND(C$5=1,COUNTIFS(LvStaff,$A26,LvFrom,"&lt;="&amp;C$3,LvTo,"&gt;="&amp;C$3,LvStat,'الإعدادات'!$Q$8)&gt;0),'الإعدادات'!$E$12,IF('خطة الورديات'!C18="","",'خطة الورديات'!C18)))</f>
        <v/>
      </c>
      <c r="D26" s="33">
        <f>IF(OR(D$3="",$A26=""),"",IF(AND(D$5=1,COUNTIFS(LvStaff,$A26,LvFrom,"&lt;="&amp;D$3,LvTo,"&gt;="&amp;D$3,LvStat,'الإعدادات'!$Q$8)&gt;0),'الإعدادات'!$E$12,IF('خطة الورديات'!D18="","",'خطة الورديات'!D18)))</f>
        <v/>
      </c>
      <c r="E26" s="33">
        <f>IF(OR(E$3="",$A26=""),"",IF(AND(E$5=1,COUNTIFS(LvStaff,$A26,LvFrom,"&lt;="&amp;E$3,LvTo,"&gt;="&amp;E$3,LvStat,'الإعدادات'!$Q$8)&gt;0),'الإعدادات'!$E$12,IF('خطة الورديات'!E18="","",'خطة الورديات'!E18)))</f>
        <v/>
      </c>
      <c r="F26" s="33">
        <f>IF(OR(F$3="",$A26=""),"",IF(AND(F$5=1,COUNTIFS(LvStaff,$A26,LvFrom,"&lt;="&amp;F$3,LvTo,"&gt;="&amp;F$3,LvStat,'الإعدادات'!$Q$8)&gt;0),'الإعدادات'!$E$12,IF('خطة الورديات'!F18="","",'خطة الورديات'!F18)))</f>
        <v/>
      </c>
      <c r="G26" s="33">
        <f>IF(OR(G$3="",$A26=""),"",IF(AND(G$5=1,COUNTIFS(LvStaff,$A26,LvFrom,"&lt;="&amp;G$3,LvTo,"&gt;="&amp;G$3,LvStat,'الإعدادات'!$Q$8)&gt;0),'الإعدادات'!$E$12,IF('خطة الورديات'!G18="","",'خطة الورديات'!G18)))</f>
        <v/>
      </c>
      <c r="H26" s="33">
        <f>IF(OR(H$3="",$A26=""),"",IF(AND(H$5=1,COUNTIFS(LvStaff,$A26,LvFrom,"&lt;="&amp;H$3,LvTo,"&gt;="&amp;H$3,LvStat,'الإعدادات'!$Q$8)&gt;0),'الإعدادات'!$E$12,IF('خطة الورديات'!H18="","",'خطة الورديات'!H18)))</f>
        <v/>
      </c>
      <c r="I26" s="33">
        <f>IF(OR(I$3="",$A26=""),"",IF(AND(I$5=1,COUNTIFS(LvStaff,$A26,LvFrom,"&lt;="&amp;I$3,LvTo,"&gt;="&amp;I$3,LvStat,'الإعدادات'!$Q$8)&gt;0),'الإعدادات'!$E$12,IF('خطة الورديات'!I18="","",'خطة الورديات'!I18)))</f>
        <v/>
      </c>
      <c r="J26" s="33">
        <f>IF(OR(J$3="",$A26=""),"",IF(AND(J$5=1,COUNTIFS(LvStaff,$A26,LvFrom,"&lt;="&amp;J$3,LvTo,"&gt;="&amp;J$3,LvStat,'الإعدادات'!$Q$8)&gt;0),'الإعدادات'!$E$12,IF('خطة الورديات'!J18="","",'خطة الورديات'!J18)))</f>
        <v/>
      </c>
      <c r="K26" s="33">
        <f>IF(OR(K$3="",$A26=""),"",IF(AND(K$5=1,COUNTIFS(LvStaff,$A26,LvFrom,"&lt;="&amp;K$3,LvTo,"&gt;="&amp;K$3,LvStat,'الإعدادات'!$Q$8)&gt;0),'الإعدادات'!$E$12,IF('خطة الورديات'!K18="","",'خطة الورديات'!K18)))</f>
        <v/>
      </c>
      <c r="L26" s="33">
        <f>IF(OR(L$3="",$A26=""),"",IF(AND(L$5=1,COUNTIFS(LvStaff,$A26,LvFrom,"&lt;="&amp;L$3,LvTo,"&gt;="&amp;L$3,LvStat,'الإعدادات'!$Q$8)&gt;0),'الإعدادات'!$E$12,IF('خطة الورديات'!L18="","",'خطة الورديات'!L18)))</f>
        <v/>
      </c>
      <c r="M26" s="33">
        <f>IF(OR(M$3="",$A26=""),"",IF(AND(M$5=1,COUNTIFS(LvStaff,$A26,LvFrom,"&lt;="&amp;M$3,LvTo,"&gt;="&amp;M$3,LvStat,'الإعدادات'!$Q$8)&gt;0),'الإعدادات'!$E$12,IF('خطة الورديات'!M18="","",'خطة الورديات'!M18)))</f>
        <v/>
      </c>
      <c r="N26" s="33">
        <f>IF(OR(N$3="",$A26=""),"",IF(AND(N$5=1,COUNTIFS(LvStaff,$A26,LvFrom,"&lt;="&amp;N$3,LvTo,"&gt;="&amp;N$3,LvStat,'الإعدادات'!$Q$8)&gt;0),'الإعدادات'!$E$12,IF('خطة الورديات'!N18="","",'خطة الورديات'!N18)))</f>
        <v/>
      </c>
      <c r="O26" s="33">
        <f>IF(OR(O$3="",$A26=""),"",IF(AND(O$5=1,COUNTIFS(LvStaff,$A26,LvFrom,"&lt;="&amp;O$3,LvTo,"&gt;="&amp;O$3,LvStat,'الإعدادات'!$Q$8)&gt;0),'الإعدادات'!$E$12,IF('خطة الورديات'!O18="","",'خطة الورديات'!O18)))</f>
        <v/>
      </c>
      <c r="P26" s="33">
        <f>IF(OR(P$3="",$A26=""),"",IF(AND(P$5=1,COUNTIFS(LvStaff,$A26,LvFrom,"&lt;="&amp;P$3,LvTo,"&gt;="&amp;P$3,LvStat,'الإعدادات'!$Q$8)&gt;0),'الإعدادات'!$E$12,IF('خطة الورديات'!P18="","",'خطة الورديات'!P18)))</f>
        <v/>
      </c>
      <c r="Q26" s="33">
        <f>IF(OR(Q$3="",$A26=""),"",IF(AND(Q$5=1,COUNTIFS(LvStaff,$A26,LvFrom,"&lt;="&amp;Q$3,LvTo,"&gt;="&amp;Q$3,LvStat,'الإعدادات'!$Q$8)&gt;0),'الإعدادات'!$E$12,IF('خطة الورديات'!Q18="","",'خطة الورديات'!Q18)))</f>
        <v/>
      </c>
      <c r="R26" s="33">
        <f>IF(OR(R$3="",$A26=""),"",IF(AND(R$5=1,COUNTIFS(LvStaff,$A26,LvFrom,"&lt;="&amp;R$3,LvTo,"&gt;="&amp;R$3,LvStat,'الإعدادات'!$Q$8)&gt;0),'الإعدادات'!$E$12,IF('خطة الورديات'!R18="","",'خطة الورديات'!R18)))</f>
        <v/>
      </c>
      <c r="S26" s="33">
        <f>IF(OR(S$3="",$A26=""),"",IF(AND(S$5=1,COUNTIFS(LvStaff,$A26,LvFrom,"&lt;="&amp;S$3,LvTo,"&gt;="&amp;S$3,LvStat,'الإعدادات'!$Q$8)&gt;0),'الإعدادات'!$E$12,IF('خطة الورديات'!S18="","",'خطة الورديات'!S18)))</f>
        <v/>
      </c>
      <c r="T26" s="33">
        <f>IF(OR(T$3="",$A26=""),"",IF(AND(T$5=1,COUNTIFS(LvStaff,$A26,LvFrom,"&lt;="&amp;T$3,LvTo,"&gt;="&amp;T$3,LvStat,'الإعدادات'!$Q$8)&gt;0),'الإعدادات'!$E$12,IF('خطة الورديات'!T18="","",'خطة الورديات'!T18)))</f>
        <v/>
      </c>
      <c r="U26" s="33">
        <f>IF(OR(U$3="",$A26=""),"",IF(AND(U$5=1,COUNTIFS(LvStaff,$A26,LvFrom,"&lt;="&amp;U$3,LvTo,"&gt;="&amp;U$3,LvStat,'الإعدادات'!$Q$8)&gt;0),'الإعدادات'!$E$12,IF('خطة الورديات'!U18="","",'خطة الورديات'!U18)))</f>
        <v/>
      </c>
      <c r="V26" s="33">
        <f>IF(OR(V$3="",$A26=""),"",IF(AND(V$5=1,COUNTIFS(LvStaff,$A26,LvFrom,"&lt;="&amp;V$3,LvTo,"&gt;="&amp;V$3,LvStat,'الإعدادات'!$Q$8)&gt;0),'الإعدادات'!$E$12,IF('خطة الورديات'!V18="","",'خطة الورديات'!V18)))</f>
        <v/>
      </c>
      <c r="W26" s="33">
        <f>IF(OR(W$3="",$A26=""),"",IF(AND(W$5=1,COUNTIFS(LvStaff,$A26,LvFrom,"&lt;="&amp;W$3,LvTo,"&gt;="&amp;W$3,LvStat,'الإعدادات'!$Q$8)&gt;0),'الإعدادات'!$E$12,IF('خطة الورديات'!W18="","",'خطة الورديات'!W18)))</f>
        <v/>
      </c>
      <c r="X26" s="33">
        <f>IF(OR(X$3="",$A26=""),"",IF(AND(X$5=1,COUNTIFS(LvStaff,$A26,LvFrom,"&lt;="&amp;X$3,LvTo,"&gt;="&amp;X$3,LvStat,'الإعدادات'!$Q$8)&gt;0),'الإعدادات'!$E$12,IF('خطة الورديات'!X18="","",'خطة الورديات'!X18)))</f>
        <v/>
      </c>
      <c r="Y26" s="33">
        <f>IF(OR(Y$3="",$A26=""),"",IF(AND(Y$5=1,COUNTIFS(LvStaff,$A26,LvFrom,"&lt;="&amp;Y$3,LvTo,"&gt;="&amp;Y$3,LvStat,'الإعدادات'!$Q$8)&gt;0),'الإعدادات'!$E$12,IF('خطة الورديات'!Y18="","",'خطة الورديات'!Y18)))</f>
        <v/>
      </c>
      <c r="Z26" s="33">
        <f>IF(OR(Z$3="",$A26=""),"",IF(AND(Z$5=1,COUNTIFS(LvStaff,$A26,LvFrom,"&lt;="&amp;Z$3,LvTo,"&gt;="&amp;Z$3,LvStat,'الإعدادات'!$Q$8)&gt;0),'الإعدادات'!$E$12,IF('خطة الورديات'!Z18="","",'خطة الورديات'!Z18)))</f>
        <v/>
      </c>
      <c r="AA26" s="33">
        <f>IF(OR(AA$3="",$A26=""),"",IF(AND(AA$5=1,COUNTIFS(LvStaff,$A26,LvFrom,"&lt;="&amp;AA$3,LvTo,"&gt;="&amp;AA$3,LvStat,'الإعدادات'!$Q$8)&gt;0),'الإعدادات'!$E$12,IF('خطة الورديات'!AA18="","",'خطة الورديات'!AA18)))</f>
        <v/>
      </c>
      <c r="AB26" s="33">
        <f>IF(OR(AB$3="",$A26=""),"",IF(AND(AB$5=1,COUNTIFS(LvStaff,$A26,LvFrom,"&lt;="&amp;AB$3,LvTo,"&gt;="&amp;AB$3,LvStat,'الإعدادات'!$Q$8)&gt;0),'الإعدادات'!$E$12,IF('خطة الورديات'!AB18="","",'خطة الورديات'!AB18)))</f>
        <v/>
      </c>
      <c r="AC26" s="33">
        <f>IF(OR(AC$3="",$A26=""),"",IF(AND(AC$5=1,COUNTIFS(LvStaff,$A26,LvFrom,"&lt;="&amp;AC$3,LvTo,"&gt;="&amp;AC$3,LvStat,'الإعدادات'!$Q$8)&gt;0),'الإعدادات'!$E$12,IF('خطة الورديات'!AC18="","",'خطة الورديات'!AC18)))</f>
        <v/>
      </c>
      <c r="AD26" s="33">
        <f>IF(OR(AD$3="",$A26=""),"",IF(AND(AD$5=1,COUNTIFS(LvStaff,$A26,LvFrom,"&lt;="&amp;AD$3,LvTo,"&gt;="&amp;AD$3,LvStat,'الإعدادات'!$Q$8)&gt;0),'الإعدادات'!$E$12,IF('خطة الورديات'!AD18="","",'خطة الورديات'!AD18)))</f>
        <v/>
      </c>
      <c r="AE26" s="33">
        <f>IF(OR(AE$3="",$A26=""),"",IF(AND(AE$5=1,COUNTIFS(LvStaff,$A26,LvFrom,"&lt;="&amp;AE$3,LvTo,"&gt;="&amp;AE$3,LvStat,'الإعدادات'!$Q$8)&gt;0),'الإعدادات'!$E$12,IF('خطة الورديات'!AE18="","",'خطة الورديات'!AE18)))</f>
        <v/>
      </c>
      <c r="AF26" s="33">
        <f>IF(OR(AF$3="",$A26=""),"",IF(AND(AF$5=1,COUNTIFS(LvStaff,$A26,LvFrom,"&lt;="&amp;AF$3,LvTo,"&gt;="&amp;AF$3,LvStat,'الإعدادات'!$Q$8)&gt;0),'الإعدادات'!$E$12,IF('خطة الورديات'!AF18="","",'خطة الورديات'!AF18)))</f>
        <v/>
      </c>
      <c r="AG26" s="33">
        <f>IF(OR(AG$3="",$A26=""),"",IF(AND(AG$5=1,COUNTIFS(LvStaff,$A26,LvFrom,"&lt;="&amp;AG$3,LvTo,"&gt;="&amp;AG$3,LvStat,'الإعدادات'!$Q$8)&gt;0),'الإعدادات'!$E$12,IF('خطة الورديات'!AG18="","",'خطة الورديات'!AG18)))</f>
        <v/>
      </c>
      <c r="AI26" s="28">
        <f>IF($A26="","",'الإعدادات'!$I$8*COUNTIFS($C26:$AG26,'الإعدادات'!$E$8,$C$6:$AG$6,1)+'الإعدادات'!$I$9*COUNTIFS($C26:$AG26,'الإعدادات'!$E$9,$C$6:$AG$6,1)+'الإعدادات'!$I$10*COUNTIFS($C26:$AG26,'الإعدادات'!$E$10,$C$6:$AG$6,1)+'الإعدادات'!$I$11*COUNTIFS($C26:$AG26,'الإعدادات'!$E$11,$C$6:$AG$6,1)+'الإعدادات'!$I$12*COUNTIFS($C26:$AG26,'الإعدادات'!$E$12,$C$6:$AG$6,1)+'الإعدادات'!$I$13*COUNTIFS($C26:$AG26,'الإعدادات'!$E$13,$C$6:$AG$6,1)+'الإعدادات'!$I$14*COUNTIFS($C26:$AG26,'الإعدادات'!$E$14,$C$6:$AG$6,1)+'الإعدادات'!$I$15*COUNTIFS($C26:$AG26,'الإعدادات'!$E$15,$C$6:$AG$6,1))</f>
        <v/>
      </c>
      <c r="AJ26" s="28">
        <f>IF($A26="","",'الإعدادات'!$I$8*COUNTIFS($C26:$AG26,'الإعدادات'!$E$8,$C$6:$AG$6,2)+'الإعدادات'!$I$9*COUNTIFS($C26:$AG26,'الإعدادات'!$E$9,$C$6:$AG$6,2)+'الإعدادات'!$I$10*COUNTIFS($C26:$AG26,'الإعدادات'!$E$10,$C$6:$AG$6,2)+'الإعدادات'!$I$11*COUNTIFS($C26:$AG26,'الإعدادات'!$E$11,$C$6:$AG$6,2)+'الإعدادات'!$I$12*COUNTIFS($C26:$AG26,'الإعدادات'!$E$12,$C$6:$AG$6,2)+'الإعدادات'!$I$13*COUNTIFS($C26:$AG26,'الإعدادات'!$E$13,$C$6:$AG$6,2)+'الإعدادات'!$I$14*COUNTIFS($C26:$AG26,'الإعدادات'!$E$14,$C$6:$AG$6,2)+'الإعدادات'!$I$15*COUNTIFS($C26:$AG26,'الإعدادات'!$E$15,$C$6:$AG$6,2))</f>
        <v/>
      </c>
      <c r="AK26" s="28">
        <f>IF($A26="","",'الإعدادات'!$I$8*COUNTIFS($C26:$AG26,'الإعدادات'!$E$8,$C$6:$AG$6,3)+'الإعدادات'!$I$9*COUNTIFS($C26:$AG26,'الإعدادات'!$E$9,$C$6:$AG$6,3)+'الإعدادات'!$I$10*COUNTIFS($C26:$AG26,'الإعدادات'!$E$10,$C$6:$AG$6,3)+'الإعدادات'!$I$11*COUNTIFS($C26:$AG26,'الإعدادات'!$E$11,$C$6:$AG$6,3)+'الإعدادات'!$I$12*COUNTIFS($C26:$AG26,'الإعدادات'!$E$12,$C$6:$AG$6,3)+'الإعدادات'!$I$13*COUNTIFS($C26:$AG26,'الإعدادات'!$E$13,$C$6:$AG$6,3)+'الإعدادات'!$I$14*COUNTIFS($C26:$AG26,'الإعدادات'!$E$14,$C$6:$AG$6,3)+'الإعدادات'!$I$15*COUNTIFS($C26:$AG26,'الإعدادات'!$E$15,$C$6:$AG$6,3))</f>
        <v/>
      </c>
      <c r="AL26" s="28">
        <f>IF($A26="","",'الإعدادات'!$I$8*COUNTIFS($C26:$AG26,'الإعدادات'!$E$8,$C$6:$AG$6,4)+'الإعدادات'!$I$9*COUNTIFS($C26:$AG26,'الإعدادات'!$E$9,$C$6:$AG$6,4)+'الإعدادات'!$I$10*COUNTIFS($C26:$AG26,'الإعدادات'!$E$10,$C$6:$AG$6,4)+'الإعدادات'!$I$11*COUNTIFS($C26:$AG26,'الإعدادات'!$E$11,$C$6:$AG$6,4)+'الإعدادات'!$I$12*COUNTIFS($C26:$AG26,'الإعدادات'!$E$12,$C$6:$AG$6,4)+'الإعدادات'!$I$13*COUNTIFS($C26:$AG26,'الإعدادات'!$E$13,$C$6:$AG$6,4)+'الإعدادات'!$I$14*COUNTIFS($C26:$AG26,'الإعدادات'!$E$14,$C$6:$AG$6,4)+'الإعدادات'!$I$15*COUNTIFS($C26:$AG26,'الإعدادات'!$E$15,$C$6:$AG$6,4))</f>
        <v/>
      </c>
      <c r="AM26" s="28">
        <f>IF($A26="","",'الإعدادات'!$I$8*COUNTIFS($C26:$AG26,'الإعدادات'!$E$8,$C$6:$AG$6,5)+'الإعدادات'!$I$9*COUNTIFS($C26:$AG26,'الإعدادات'!$E$9,$C$6:$AG$6,5)+'الإعدادات'!$I$10*COUNTIFS($C26:$AG26,'الإعدادات'!$E$10,$C$6:$AG$6,5)+'الإعدادات'!$I$11*COUNTIFS($C26:$AG26,'الإعدادات'!$E$11,$C$6:$AG$6,5)+'الإعدادات'!$I$12*COUNTIFS($C26:$AG26,'الإعدادات'!$E$12,$C$6:$AG$6,5)+'الإعدادات'!$I$13*COUNTIFS($C26:$AG26,'الإعدادات'!$E$13,$C$6:$AG$6,5)+'الإعدادات'!$I$14*COUNTIFS($C26:$AG26,'الإعدادات'!$E$14,$C$6:$AG$6,5)+'الإعدادات'!$I$15*COUNTIFS($C26:$AG26,'الإعدادات'!$E$15,$C$6:$AG$6,5))</f>
        <v/>
      </c>
      <c r="AN26" s="28">
        <f>IF($A26="","",'الإعدادات'!$I$8*COUNTIFS($C26:$AG26,'الإعدادات'!$E$8,$C$6:$AG$6,6)+'الإعدادات'!$I$9*COUNTIFS($C26:$AG26,'الإعدادات'!$E$9,$C$6:$AG$6,6)+'الإعدادات'!$I$10*COUNTIFS($C26:$AG26,'الإعدادات'!$E$10,$C$6:$AG$6,6)+'الإعدادات'!$I$11*COUNTIFS($C26:$AG26,'الإعدادات'!$E$11,$C$6:$AG$6,6)+'الإعدادات'!$I$12*COUNTIFS($C26:$AG26,'الإعدادات'!$E$12,$C$6:$AG$6,6)+'الإعدادات'!$I$13*COUNTIFS($C26:$AG26,'الإعدادات'!$E$13,$C$6:$AG$6,6)+'الإعدادات'!$I$14*COUNTIFS($C26:$AG26,'الإعدادات'!$E$14,$C$6:$AG$6,6)+'الإعدادات'!$I$15*COUNTIFS($C26:$AG26,'الإعدادات'!$E$15,$C$6:$AG$6,6))</f>
        <v/>
      </c>
      <c r="AO26" s="28">
        <f>IF($A26="","",IFERROR(INDEX(StaffLimit,MATCH($A26,Staff,0)),""))</f>
        <v/>
      </c>
      <c r="AP26" s="34">
        <f>IF($A26="","",SUM(AI26:AN26))</f>
        <v/>
      </c>
      <c r="AQ26" s="28">
        <f>IF($A26="","",COUNTIF($C26:$AG26,'الإعدادات'!$E$11))</f>
        <v/>
      </c>
      <c r="AR26" s="28">
        <f>IF($A26="","",COUNTIF($C26:$AG26,'الإعدادات'!$E$12))</f>
        <v/>
      </c>
    </row>
    <row r="27">
      <c r="A27" s="8">
        <f>IF('خطة الورديات'!A19="","",'خطة الورديات'!A19)</f>
        <v/>
      </c>
      <c r="B27" s="8">
        <f>IF(A27="","",IFERROR(INDEX(StaffRole,MATCH(A27,Staff,0)),""))</f>
        <v/>
      </c>
      <c r="C27" s="33">
        <f>IF(OR(C$3="",$A27=""),"",IF(AND(C$5=1,COUNTIFS(LvStaff,$A27,LvFrom,"&lt;="&amp;C$3,LvTo,"&gt;="&amp;C$3,LvStat,'الإعدادات'!$Q$8)&gt;0),'الإعدادات'!$E$12,IF('خطة الورديات'!C19="","",'خطة الورديات'!C19)))</f>
        <v/>
      </c>
      <c r="D27" s="33">
        <f>IF(OR(D$3="",$A27=""),"",IF(AND(D$5=1,COUNTIFS(LvStaff,$A27,LvFrom,"&lt;="&amp;D$3,LvTo,"&gt;="&amp;D$3,LvStat,'الإعدادات'!$Q$8)&gt;0),'الإعدادات'!$E$12,IF('خطة الورديات'!D19="","",'خطة الورديات'!D19)))</f>
        <v/>
      </c>
      <c r="E27" s="33">
        <f>IF(OR(E$3="",$A27=""),"",IF(AND(E$5=1,COUNTIFS(LvStaff,$A27,LvFrom,"&lt;="&amp;E$3,LvTo,"&gt;="&amp;E$3,LvStat,'الإعدادات'!$Q$8)&gt;0),'الإعدادات'!$E$12,IF('خطة الورديات'!E19="","",'خطة الورديات'!E19)))</f>
        <v/>
      </c>
      <c r="F27" s="33">
        <f>IF(OR(F$3="",$A27=""),"",IF(AND(F$5=1,COUNTIFS(LvStaff,$A27,LvFrom,"&lt;="&amp;F$3,LvTo,"&gt;="&amp;F$3,LvStat,'الإعدادات'!$Q$8)&gt;0),'الإعدادات'!$E$12,IF('خطة الورديات'!F19="","",'خطة الورديات'!F19)))</f>
        <v/>
      </c>
      <c r="G27" s="33">
        <f>IF(OR(G$3="",$A27=""),"",IF(AND(G$5=1,COUNTIFS(LvStaff,$A27,LvFrom,"&lt;="&amp;G$3,LvTo,"&gt;="&amp;G$3,LvStat,'الإعدادات'!$Q$8)&gt;0),'الإعدادات'!$E$12,IF('خطة الورديات'!G19="","",'خطة الورديات'!G19)))</f>
        <v/>
      </c>
      <c r="H27" s="33">
        <f>IF(OR(H$3="",$A27=""),"",IF(AND(H$5=1,COUNTIFS(LvStaff,$A27,LvFrom,"&lt;="&amp;H$3,LvTo,"&gt;="&amp;H$3,LvStat,'الإعدادات'!$Q$8)&gt;0),'الإعدادات'!$E$12,IF('خطة الورديات'!H19="","",'خطة الورديات'!H19)))</f>
        <v/>
      </c>
      <c r="I27" s="33">
        <f>IF(OR(I$3="",$A27=""),"",IF(AND(I$5=1,COUNTIFS(LvStaff,$A27,LvFrom,"&lt;="&amp;I$3,LvTo,"&gt;="&amp;I$3,LvStat,'الإعدادات'!$Q$8)&gt;0),'الإعدادات'!$E$12,IF('خطة الورديات'!I19="","",'خطة الورديات'!I19)))</f>
        <v/>
      </c>
      <c r="J27" s="33">
        <f>IF(OR(J$3="",$A27=""),"",IF(AND(J$5=1,COUNTIFS(LvStaff,$A27,LvFrom,"&lt;="&amp;J$3,LvTo,"&gt;="&amp;J$3,LvStat,'الإعدادات'!$Q$8)&gt;0),'الإعدادات'!$E$12,IF('خطة الورديات'!J19="","",'خطة الورديات'!J19)))</f>
        <v/>
      </c>
      <c r="K27" s="33">
        <f>IF(OR(K$3="",$A27=""),"",IF(AND(K$5=1,COUNTIFS(LvStaff,$A27,LvFrom,"&lt;="&amp;K$3,LvTo,"&gt;="&amp;K$3,LvStat,'الإعدادات'!$Q$8)&gt;0),'الإعدادات'!$E$12,IF('خطة الورديات'!K19="","",'خطة الورديات'!K19)))</f>
        <v/>
      </c>
      <c r="L27" s="33">
        <f>IF(OR(L$3="",$A27=""),"",IF(AND(L$5=1,COUNTIFS(LvStaff,$A27,LvFrom,"&lt;="&amp;L$3,LvTo,"&gt;="&amp;L$3,LvStat,'الإعدادات'!$Q$8)&gt;0),'الإعدادات'!$E$12,IF('خطة الورديات'!L19="","",'خطة الورديات'!L19)))</f>
        <v/>
      </c>
      <c r="M27" s="33">
        <f>IF(OR(M$3="",$A27=""),"",IF(AND(M$5=1,COUNTIFS(LvStaff,$A27,LvFrom,"&lt;="&amp;M$3,LvTo,"&gt;="&amp;M$3,LvStat,'الإعدادات'!$Q$8)&gt;0),'الإعدادات'!$E$12,IF('خطة الورديات'!M19="","",'خطة الورديات'!M19)))</f>
        <v/>
      </c>
      <c r="N27" s="33">
        <f>IF(OR(N$3="",$A27=""),"",IF(AND(N$5=1,COUNTIFS(LvStaff,$A27,LvFrom,"&lt;="&amp;N$3,LvTo,"&gt;="&amp;N$3,LvStat,'الإعدادات'!$Q$8)&gt;0),'الإعدادات'!$E$12,IF('خطة الورديات'!N19="","",'خطة الورديات'!N19)))</f>
        <v/>
      </c>
      <c r="O27" s="33">
        <f>IF(OR(O$3="",$A27=""),"",IF(AND(O$5=1,COUNTIFS(LvStaff,$A27,LvFrom,"&lt;="&amp;O$3,LvTo,"&gt;="&amp;O$3,LvStat,'الإعدادات'!$Q$8)&gt;0),'الإعدادات'!$E$12,IF('خطة الورديات'!O19="","",'خطة الورديات'!O19)))</f>
        <v/>
      </c>
      <c r="P27" s="33">
        <f>IF(OR(P$3="",$A27=""),"",IF(AND(P$5=1,COUNTIFS(LvStaff,$A27,LvFrom,"&lt;="&amp;P$3,LvTo,"&gt;="&amp;P$3,LvStat,'الإعدادات'!$Q$8)&gt;0),'الإعدادات'!$E$12,IF('خطة الورديات'!P19="","",'خطة الورديات'!P19)))</f>
        <v/>
      </c>
      <c r="Q27" s="33">
        <f>IF(OR(Q$3="",$A27=""),"",IF(AND(Q$5=1,COUNTIFS(LvStaff,$A27,LvFrom,"&lt;="&amp;Q$3,LvTo,"&gt;="&amp;Q$3,LvStat,'الإعدادات'!$Q$8)&gt;0),'الإعدادات'!$E$12,IF('خطة الورديات'!Q19="","",'خطة الورديات'!Q19)))</f>
        <v/>
      </c>
      <c r="R27" s="33">
        <f>IF(OR(R$3="",$A27=""),"",IF(AND(R$5=1,COUNTIFS(LvStaff,$A27,LvFrom,"&lt;="&amp;R$3,LvTo,"&gt;="&amp;R$3,LvStat,'الإعدادات'!$Q$8)&gt;0),'الإعدادات'!$E$12,IF('خطة الورديات'!R19="","",'خطة الورديات'!R19)))</f>
        <v/>
      </c>
      <c r="S27" s="33">
        <f>IF(OR(S$3="",$A27=""),"",IF(AND(S$5=1,COUNTIFS(LvStaff,$A27,LvFrom,"&lt;="&amp;S$3,LvTo,"&gt;="&amp;S$3,LvStat,'الإعدادات'!$Q$8)&gt;0),'الإعدادات'!$E$12,IF('خطة الورديات'!S19="","",'خطة الورديات'!S19)))</f>
        <v/>
      </c>
      <c r="T27" s="33">
        <f>IF(OR(T$3="",$A27=""),"",IF(AND(T$5=1,COUNTIFS(LvStaff,$A27,LvFrom,"&lt;="&amp;T$3,LvTo,"&gt;="&amp;T$3,LvStat,'الإعدادات'!$Q$8)&gt;0),'الإعدادات'!$E$12,IF('خطة الورديات'!T19="","",'خطة الورديات'!T19)))</f>
        <v/>
      </c>
      <c r="U27" s="33">
        <f>IF(OR(U$3="",$A27=""),"",IF(AND(U$5=1,COUNTIFS(LvStaff,$A27,LvFrom,"&lt;="&amp;U$3,LvTo,"&gt;="&amp;U$3,LvStat,'الإعدادات'!$Q$8)&gt;0),'الإعدادات'!$E$12,IF('خطة الورديات'!U19="","",'خطة الورديات'!U19)))</f>
        <v/>
      </c>
      <c r="V27" s="33">
        <f>IF(OR(V$3="",$A27=""),"",IF(AND(V$5=1,COUNTIFS(LvStaff,$A27,LvFrom,"&lt;="&amp;V$3,LvTo,"&gt;="&amp;V$3,LvStat,'الإعدادات'!$Q$8)&gt;0),'الإعدادات'!$E$12,IF('خطة الورديات'!V19="","",'خطة الورديات'!V19)))</f>
        <v/>
      </c>
      <c r="W27" s="33">
        <f>IF(OR(W$3="",$A27=""),"",IF(AND(W$5=1,COUNTIFS(LvStaff,$A27,LvFrom,"&lt;="&amp;W$3,LvTo,"&gt;="&amp;W$3,LvStat,'الإعدادات'!$Q$8)&gt;0),'الإعدادات'!$E$12,IF('خطة الورديات'!W19="","",'خطة الورديات'!W19)))</f>
        <v/>
      </c>
      <c r="X27" s="33">
        <f>IF(OR(X$3="",$A27=""),"",IF(AND(X$5=1,COUNTIFS(LvStaff,$A27,LvFrom,"&lt;="&amp;X$3,LvTo,"&gt;="&amp;X$3,LvStat,'الإعدادات'!$Q$8)&gt;0),'الإعدادات'!$E$12,IF('خطة الورديات'!X19="","",'خطة الورديات'!X19)))</f>
        <v/>
      </c>
      <c r="Y27" s="33">
        <f>IF(OR(Y$3="",$A27=""),"",IF(AND(Y$5=1,COUNTIFS(LvStaff,$A27,LvFrom,"&lt;="&amp;Y$3,LvTo,"&gt;="&amp;Y$3,LvStat,'الإعدادات'!$Q$8)&gt;0),'الإعدادات'!$E$12,IF('خطة الورديات'!Y19="","",'خطة الورديات'!Y19)))</f>
        <v/>
      </c>
      <c r="Z27" s="33">
        <f>IF(OR(Z$3="",$A27=""),"",IF(AND(Z$5=1,COUNTIFS(LvStaff,$A27,LvFrom,"&lt;="&amp;Z$3,LvTo,"&gt;="&amp;Z$3,LvStat,'الإعدادات'!$Q$8)&gt;0),'الإعدادات'!$E$12,IF('خطة الورديات'!Z19="","",'خطة الورديات'!Z19)))</f>
        <v/>
      </c>
      <c r="AA27" s="33">
        <f>IF(OR(AA$3="",$A27=""),"",IF(AND(AA$5=1,COUNTIFS(LvStaff,$A27,LvFrom,"&lt;="&amp;AA$3,LvTo,"&gt;="&amp;AA$3,LvStat,'الإعدادات'!$Q$8)&gt;0),'الإعدادات'!$E$12,IF('خطة الورديات'!AA19="","",'خطة الورديات'!AA19)))</f>
        <v/>
      </c>
      <c r="AB27" s="33">
        <f>IF(OR(AB$3="",$A27=""),"",IF(AND(AB$5=1,COUNTIFS(LvStaff,$A27,LvFrom,"&lt;="&amp;AB$3,LvTo,"&gt;="&amp;AB$3,LvStat,'الإعدادات'!$Q$8)&gt;0),'الإعدادات'!$E$12,IF('خطة الورديات'!AB19="","",'خطة الورديات'!AB19)))</f>
        <v/>
      </c>
      <c r="AC27" s="33">
        <f>IF(OR(AC$3="",$A27=""),"",IF(AND(AC$5=1,COUNTIFS(LvStaff,$A27,LvFrom,"&lt;="&amp;AC$3,LvTo,"&gt;="&amp;AC$3,LvStat,'الإعدادات'!$Q$8)&gt;0),'الإعدادات'!$E$12,IF('خطة الورديات'!AC19="","",'خطة الورديات'!AC19)))</f>
        <v/>
      </c>
      <c r="AD27" s="33">
        <f>IF(OR(AD$3="",$A27=""),"",IF(AND(AD$5=1,COUNTIFS(LvStaff,$A27,LvFrom,"&lt;="&amp;AD$3,LvTo,"&gt;="&amp;AD$3,LvStat,'الإعدادات'!$Q$8)&gt;0),'الإعدادات'!$E$12,IF('خطة الورديات'!AD19="","",'خطة الورديات'!AD19)))</f>
        <v/>
      </c>
      <c r="AE27" s="33">
        <f>IF(OR(AE$3="",$A27=""),"",IF(AND(AE$5=1,COUNTIFS(LvStaff,$A27,LvFrom,"&lt;="&amp;AE$3,LvTo,"&gt;="&amp;AE$3,LvStat,'الإعدادات'!$Q$8)&gt;0),'الإعدادات'!$E$12,IF('خطة الورديات'!AE19="","",'خطة الورديات'!AE19)))</f>
        <v/>
      </c>
      <c r="AF27" s="33">
        <f>IF(OR(AF$3="",$A27=""),"",IF(AND(AF$5=1,COUNTIFS(LvStaff,$A27,LvFrom,"&lt;="&amp;AF$3,LvTo,"&gt;="&amp;AF$3,LvStat,'الإعدادات'!$Q$8)&gt;0),'الإعدادات'!$E$12,IF('خطة الورديات'!AF19="","",'خطة الورديات'!AF19)))</f>
        <v/>
      </c>
      <c r="AG27" s="33">
        <f>IF(OR(AG$3="",$A27=""),"",IF(AND(AG$5=1,COUNTIFS(LvStaff,$A27,LvFrom,"&lt;="&amp;AG$3,LvTo,"&gt;="&amp;AG$3,LvStat,'الإعدادات'!$Q$8)&gt;0),'الإعدادات'!$E$12,IF('خطة الورديات'!AG19="","",'خطة الورديات'!AG19)))</f>
        <v/>
      </c>
      <c r="AI27" s="28">
        <f>IF($A27="","",'الإعدادات'!$I$8*COUNTIFS($C27:$AG27,'الإعدادات'!$E$8,$C$6:$AG$6,1)+'الإعدادات'!$I$9*COUNTIFS($C27:$AG27,'الإعدادات'!$E$9,$C$6:$AG$6,1)+'الإعدادات'!$I$10*COUNTIFS($C27:$AG27,'الإعدادات'!$E$10,$C$6:$AG$6,1)+'الإعدادات'!$I$11*COUNTIFS($C27:$AG27,'الإعدادات'!$E$11,$C$6:$AG$6,1)+'الإعدادات'!$I$12*COUNTIFS($C27:$AG27,'الإعدادات'!$E$12,$C$6:$AG$6,1)+'الإعدادات'!$I$13*COUNTIFS($C27:$AG27,'الإعدادات'!$E$13,$C$6:$AG$6,1)+'الإعدادات'!$I$14*COUNTIFS($C27:$AG27,'الإعدادات'!$E$14,$C$6:$AG$6,1)+'الإعدادات'!$I$15*COUNTIFS($C27:$AG27,'الإعدادات'!$E$15,$C$6:$AG$6,1))</f>
        <v/>
      </c>
      <c r="AJ27" s="28">
        <f>IF($A27="","",'الإعدادات'!$I$8*COUNTIFS($C27:$AG27,'الإعدادات'!$E$8,$C$6:$AG$6,2)+'الإعدادات'!$I$9*COUNTIFS($C27:$AG27,'الإعدادات'!$E$9,$C$6:$AG$6,2)+'الإعدادات'!$I$10*COUNTIFS($C27:$AG27,'الإعدادات'!$E$10,$C$6:$AG$6,2)+'الإعدادات'!$I$11*COUNTIFS($C27:$AG27,'الإعدادات'!$E$11,$C$6:$AG$6,2)+'الإعدادات'!$I$12*COUNTIFS($C27:$AG27,'الإعدادات'!$E$12,$C$6:$AG$6,2)+'الإعدادات'!$I$13*COUNTIFS($C27:$AG27,'الإعدادات'!$E$13,$C$6:$AG$6,2)+'الإعدادات'!$I$14*COUNTIFS($C27:$AG27,'الإعدادات'!$E$14,$C$6:$AG$6,2)+'الإعدادات'!$I$15*COUNTIFS($C27:$AG27,'الإعدادات'!$E$15,$C$6:$AG$6,2))</f>
        <v/>
      </c>
      <c r="AK27" s="28">
        <f>IF($A27="","",'الإعدادات'!$I$8*COUNTIFS($C27:$AG27,'الإعدادات'!$E$8,$C$6:$AG$6,3)+'الإعدادات'!$I$9*COUNTIFS($C27:$AG27,'الإعدادات'!$E$9,$C$6:$AG$6,3)+'الإعدادات'!$I$10*COUNTIFS($C27:$AG27,'الإعدادات'!$E$10,$C$6:$AG$6,3)+'الإعدادات'!$I$11*COUNTIFS($C27:$AG27,'الإعدادات'!$E$11,$C$6:$AG$6,3)+'الإعدادات'!$I$12*COUNTIFS($C27:$AG27,'الإعدادات'!$E$12,$C$6:$AG$6,3)+'الإعدادات'!$I$13*COUNTIFS($C27:$AG27,'الإعدادات'!$E$13,$C$6:$AG$6,3)+'الإعدادات'!$I$14*COUNTIFS($C27:$AG27,'الإعدادات'!$E$14,$C$6:$AG$6,3)+'الإعدادات'!$I$15*COUNTIFS($C27:$AG27,'الإعدادات'!$E$15,$C$6:$AG$6,3))</f>
        <v/>
      </c>
      <c r="AL27" s="28">
        <f>IF($A27="","",'الإعدادات'!$I$8*COUNTIFS($C27:$AG27,'الإعدادات'!$E$8,$C$6:$AG$6,4)+'الإعدادات'!$I$9*COUNTIFS($C27:$AG27,'الإعدادات'!$E$9,$C$6:$AG$6,4)+'الإعدادات'!$I$10*COUNTIFS($C27:$AG27,'الإعدادات'!$E$10,$C$6:$AG$6,4)+'الإعدادات'!$I$11*COUNTIFS($C27:$AG27,'الإعدادات'!$E$11,$C$6:$AG$6,4)+'الإعدادات'!$I$12*COUNTIFS($C27:$AG27,'الإعدادات'!$E$12,$C$6:$AG$6,4)+'الإعدادات'!$I$13*COUNTIFS($C27:$AG27,'الإعدادات'!$E$13,$C$6:$AG$6,4)+'الإعدادات'!$I$14*COUNTIFS($C27:$AG27,'الإعدادات'!$E$14,$C$6:$AG$6,4)+'الإعدادات'!$I$15*COUNTIFS($C27:$AG27,'الإعدادات'!$E$15,$C$6:$AG$6,4))</f>
        <v/>
      </c>
      <c r="AM27" s="28">
        <f>IF($A27="","",'الإعدادات'!$I$8*COUNTIFS($C27:$AG27,'الإعدادات'!$E$8,$C$6:$AG$6,5)+'الإعدادات'!$I$9*COUNTIFS($C27:$AG27,'الإعدادات'!$E$9,$C$6:$AG$6,5)+'الإعدادات'!$I$10*COUNTIFS($C27:$AG27,'الإعدادات'!$E$10,$C$6:$AG$6,5)+'الإعدادات'!$I$11*COUNTIFS($C27:$AG27,'الإعدادات'!$E$11,$C$6:$AG$6,5)+'الإعدادات'!$I$12*COUNTIFS($C27:$AG27,'الإعدادات'!$E$12,$C$6:$AG$6,5)+'الإعدادات'!$I$13*COUNTIFS($C27:$AG27,'الإعدادات'!$E$13,$C$6:$AG$6,5)+'الإعدادات'!$I$14*COUNTIFS($C27:$AG27,'الإعدادات'!$E$14,$C$6:$AG$6,5)+'الإعدادات'!$I$15*COUNTIFS($C27:$AG27,'الإعدادات'!$E$15,$C$6:$AG$6,5))</f>
        <v/>
      </c>
      <c r="AN27" s="28">
        <f>IF($A27="","",'الإعدادات'!$I$8*COUNTIFS($C27:$AG27,'الإعدادات'!$E$8,$C$6:$AG$6,6)+'الإعدادات'!$I$9*COUNTIFS($C27:$AG27,'الإعدادات'!$E$9,$C$6:$AG$6,6)+'الإعدادات'!$I$10*COUNTIFS($C27:$AG27,'الإعدادات'!$E$10,$C$6:$AG$6,6)+'الإعدادات'!$I$11*COUNTIFS($C27:$AG27,'الإعدادات'!$E$11,$C$6:$AG$6,6)+'الإعدادات'!$I$12*COUNTIFS($C27:$AG27,'الإعدادات'!$E$12,$C$6:$AG$6,6)+'الإعدادات'!$I$13*COUNTIFS($C27:$AG27,'الإعدادات'!$E$13,$C$6:$AG$6,6)+'الإعدادات'!$I$14*COUNTIFS($C27:$AG27,'الإعدادات'!$E$14,$C$6:$AG$6,6)+'الإعدادات'!$I$15*COUNTIFS($C27:$AG27,'الإعدادات'!$E$15,$C$6:$AG$6,6))</f>
        <v/>
      </c>
      <c r="AO27" s="28">
        <f>IF($A27="","",IFERROR(INDEX(StaffLimit,MATCH($A27,Staff,0)),""))</f>
        <v/>
      </c>
      <c r="AP27" s="34">
        <f>IF($A27="","",SUM(AI27:AN27))</f>
        <v/>
      </c>
      <c r="AQ27" s="28">
        <f>IF($A27="","",COUNTIF($C27:$AG27,'الإعدادات'!$E$11))</f>
        <v/>
      </c>
      <c r="AR27" s="28">
        <f>IF($A27="","",COUNTIF($C27:$AG27,'الإعدادات'!$E$12))</f>
        <v/>
      </c>
    </row>
    <row r="28">
      <c r="A28" s="8">
        <f>IF('خطة الورديات'!A20="","",'خطة الورديات'!A20)</f>
        <v/>
      </c>
      <c r="B28" s="8">
        <f>IF(A28="","",IFERROR(INDEX(StaffRole,MATCH(A28,Staff,0)),""))</f>
        <v/>
      </c>
      <c r="C28" s="33">
        <f>IF(OR(C$3="",$A28=""),"",IF(AND(C$5=1,COUNTIFS(LvStaff,$A28,LvFrom,"&lt;="&amp;C$3,LvTo,"&gt;="&amp;C$3,LvStat,'الإعدادات'!$Q$8)&gt;0),'الإعدادات'!$E$12,IF('خطة الورديات'!C20="","",'خطة الورديات'!C20)))</f>
        <v/>
      </c>
      <c r="D28" s="33">
        <f>IF(OR(D$3="",$A28=""),"",IF(AND(D$5=1,COUNTIFS(LvStaff,$A28,LvFrom,"&lt;="&amp;D$3,LvTo,"&gt;="&amp;D$3,LvStat,'الإعدادات'!$Q$8)&gt;0),'الإعدادات'!$E$12,IF('خطة الورديات'!D20="","",'خطة الورديات'!D20)))</f>
        <v/>
      </c>
      <c r="E28" s="33">
        <f>IF(OR(E$3="",$A28=""),"",IF(AND(E$5=1,COUNTIFS(LvStaff,$A28,LvFrom,"&lt;="&amp;E$3,LvTo,"&gt;="&amp;E$3,LvStat,'الإعدادات'!$Q$8)&gt;0),'الإعدادات'!$E$12,IF('خطة الورديات'!E20="","",'خطة الورديات'!E20)))</f>
        <v/>
      </c>
      <c r="F28" s="33">
        <f>IF(OR(F$3="",$A28=""),"",IF(AND(F$5=1,COUNTIFS(LvStaff,$A28,LvFrom,"&lt;="&amp;F$3,LvTo,"&gt;="&amp;F$3,LvStat,'الإعدادات'!$Q$8)&gt;0),'الإعدادات'!$E$12,IF('خطة الورديات'!F20="","",'خطة الورديات'!F20)))</f>
        <v/>
      </c>
      <c r="G28" s="33">
        <f>IF(OR(G$3="",$A28=""),"",IF(AND(G$5=1,COUNTIFS(LvStaff,$A28,LvFrom,"&lt;="&amp;G$3,LvTo,"&gt;="&amp;G$3,LvStat,'الإعدادات'!$Q$8)&gt;0),'الإعدادات'!$E$12,IF('خطة الورديات'!G20="","",'خطة الورديات'!G20)))</f>
        <v/>
      </c>
      <c r="H28" s="33">
        <f>IF(OR(H$3="",$A28=""),"",IF(AND(H$5=1,COUNTIFS(LvStaff,$A28,LvFrom,"&lt;="&amp;H$3,LvTo,"&gt;="&amp;H$3,LvStat,'الإعدادات'!$Q$8)&gt;0),'الإعدادات'!$E$12,IF('خطة الورديات'!H20="","",'خطة الورديات'!H20)))</f>
        <v/>
      </c>
      <c r="I28" s="33">
        <f>IF(OR(I$3="",$A28=""),"",IF(AND(I$5=1,COUNTIFS(LvStaff,$A28,LvFrom,"&lt;="&amp;I$3,LvTo,"&gt;="&amp;I$3,LvStat,'الإعدادات'!$Q$8)&gt;0),'الإعدادات'!$E$12,IF('خطة الورديات'!I20="","",'خطة الورديات'!I20)))</f>
        <v/>
      </c>
      <c r="J28" s="33">
        <f>IF(OR(J$3="",$A28=""),"",IF(AND(J$5=1,COUNTIFS(LvStaff,$A28,LvFrom,"&lt;="&amp;J$3,LvTo,"&gt;="&amp;J$3,LvStat,'الإعدادات'!$Q$8)&gt;0),'الإعدادات'!$E$12,IF('خطة الورديات'!J20="","",'خطة الورديات'!J20)))</f>
        <v/>
      </c>
      <c r="K28" s="33">
        <f>IF(OR(K$3="",$A28=""),"",IF(AND(K$5=1,COUNTIFS(LvStaff,$A28,LvFrom,"&lt;="&amp;K$3,LvTo,"&gt;="&amp;K$3,LvStat,'الإعدادات'!$Q$8)&gt;0),'الإعدادات'!$E$12,IF('خطة الورديات'!K20="","",'خطة الورديات'!K20)))</f>
        <v/>
      </c>
      <c r="L28" s="33">
        <f>IF(OR(L$3="",$A28=""),"",IF(AND(L$5=1,COUNTIFS(LvStaff,$A28,LvFrom,"&lt;="&amp;L$3,LvTo,"&gt;="&amp;L$3,LvStat,'الإعدادات'!$Q$8)&gt;0),'الإعدادات'!$E$12,IF('خطة الورديات'!L20="","",'خطة الورديات'!L20)))</f>
        <v/>
      </c>
      <c r="M28" s="33">
        <f>IF(OR(M$3="",$A28=""),"",IF(AND(M$5=1,COUNTIFS(LvStaff,$A28,LvFrom,"&lt;="&amp;M$3,LvTo,"&gt;="&amp;M$3,LvStat,'الإعدادات'!$Q$8)&gt;0),'الإعدادات'!$E$12,IF('خطة الورديات'!M20="","",'خطة الورديات'!M20)))</f>
        <v/>
      </c>
      <c r="N28" s="33">
        <f>IF(OR(N$3="",$A28=""),"",IF(AND(N$5=1,COUNTIFS(LvStaff,$A28,LvFrom,"&lt;="&amp;N$3,LvTo,"&gt;="&amp;N$3,LvStat,'الإعدادات'!$Q$8)&gt;0),'الإعدادات'!$E$12,IF('خطة الورديات'!N20="","",'خطة الورديات'!N20)))</f>
        <v/>
      </c>
      <c r="O28" s="33">
        <f>IF(OR(O$3="",$A28=""),"",IF(AND(O$5=1,COUNTIFS(LvStaff,$A28,LvFrom,"&lt;="&amp;O$3,LvTo,"&gt;="&amp;O$3,LvStat,'الإعدادات'!$Q$8)&gt;0),'الإعدادات'!$E$12,IF('خطة الورديات'!O20="","",'خطة الورديات'!O20)))</f>
        <v/>
      </c>
      <c r="P28" s="33">
        <f>IF(OR(P$3="",$A28=""),"",IF(AND(P$5=1,COUNTIFS(LvStaff,$A28,LvFrom,"&lt;="&amp;P$3,LvTo,"&gt;="&amp;P$3,LvStat,'الإعدادات'!$Q$8)&gt;0),'الإعدادات'!$E$12,IF('خطة الورديات'!P20="","",'خطة الورديات'!P20)))</f>
        <v/>
      </c>
      <c r="Q28" s="33">
        <f>IF(OR(Q$3="",$A28=""),"",IF(AND(Q$5=1,COUNTIFS(LvStaff,$A28,LvFrom,"&lt;="&amp;Q$3,LvTo,"&gt;="&amp;Q$3,LvStat,'الإعدادات'!$Q$8)&gt;0),'الإعدادات'!$E$12,IF('خطة الورديات'!Q20="","",'خطة الورديات'!Q20)))</f>
        <v/>
      </c>
      <c r="R28" s="33">
        <f>IF(OR(R$3="",$A28=""),"",IF(AND(R$5=1,COUNTIFS(LvStaff,$A28,LvFrom,"&lt;="&amp;R$3,LvTo,"&gt;="&amp;R$3,LvStat,'الإعدادات'!$Q$8)&gt;0),'الإعدادات'!$E$12,IF('خطة الورديات'!R20="","",'خطة الورديات'!R20)))</f>
        <v/>
      </c>
      <c r="S28" s="33">
        <f>IF(OR(S$3="",$A28=""),"",IF(AND(S$5=1,COUNTIFS(LvStaff,$A28,LvFrom,"&lt;="&amp;S$3,LvTo,"&gt;="&amp;S$3,LvStat,'الإعدادات'!$Q$8)&gt;0),'الإعدادات'!$E$12,IF('خطة الورديات'!S20="","",'خطة الورديات'!S20)))</f>
        <v/>
      </c>
      <c r="T28" s="33">
        <f>IF(OR(T$3="",$A28=""),"",IF(AND(T$5=1,COUNTIFS(LvStaff,$A28,LvFrom,"&lt;="&amp;T$3,LvTo,"&gt;="&amp;T$3,LvStat,'الإعدادات'!$Q$8)&gt;0),'الإعدادات'!$E$12,IF('خطة الورديات'!T20="","",'خطة الورديات'!T20)))</f>
        <v/>
      </c>
      <c r="U28" s="33">
        <f>IF(OR(U$3="",$A28=""),"",IF(AND(U$5=1,COUNTIFS(LvStaff,$A28,LvFrom,"&lt;="&amp;U$3,LvTo,"&gt;="&amp;U$3,LvStat,'الإعدادات'!$Q$8)&gt;0),'الإعدادات'!$E$12,IF('خطة الورديات'!U20="","",'خطة الورديات'!U20)))</f>
        <v/>
      </c>
      <c r="V28" s="33">
        <f>IF(OR(V$3="",$A28=""),"",IF(AND(V$5=1,COUNTIFS(LvStaff,$A28,LvFrom,"&lt;="&amp;V$3,LvTo,"&gt;="&amp;V$3,LvStat,'الإعدادات'!$Q$8)&gt;0),'الإعدادات'!$E$12,IF('خطة الورديات'!V20="","",'خطة الورديات'!V20)))</f>
        <v/>
      </c>
      <c r="W28" s="33">
        <f>IF(OR(W$3="",$A28=""),"",IF(AND(W$5=1,COUNTIFS(LvStaff,$A28,LvFrom,"&lt;="&amp;W$3,LvTo,"&gt;="&amp;W$3,LvStat,'الإعدادات'!$Q$8)&gt;0),'الإعدادات'!$E$12,IF('خطة الورديات'!W20="","",'خطة الورديات'!W20)))</f>
        <v/>
      </c>
      <c r="X28" s="33">
        <f>IF(OR(X$3="",$A28=""),"",IF(AND(X$5=1,COUNTIFS(LvStaff,$A28,LvFrom,"&lt;="&amp;X$3,LvTo,"&gt;="&amp;X$3,LvStat,'الإعدادات'!$Q$8)&gt;0),'الإعدادات'!$E$12,IF('خطة الورديات'!X20="","",'خطة الورديات'!X20)))</f>
        <v/>
      </c>
      <c r="Y28" s="33">
        <f>IF(OR(Y$3="",$A28=""),"",IF(AND(Y$5=1,COUNTIFS(LvStaff,$A28,LvFrom,"&lt;="&amp;Y$3,LvTo,"&gt;="&amp;Y$3,LvStat,'الإعدادات'!$Q$8)&gt;0),'الإعدادات'!$E$12,IF('خطة الورديات'!Y20="","",'خطة الورديات'!Y20)))</f>
        <v/>
      </c>
      <c r="Z28" s="33">
        <f>IF(OR(Z$3="",$A28=""),"",IF(AND(Z$5=1,COUNTIFS(LvStaff,$A28,LvFrom,"&lt;="&amp;Z$3,LvTo,"&gt;="&amp;Z$3,LvStat,'الإعدادات'!$Q$8)&gt;0),'الإعدادات'!$E$12,IF('خطة الورديات'!Z20="","",'خطة الورديات'!Z20)))</f>
        <v/>
      </c>
      <c r="AA28" s="33">
        <f>IF(OR(AA$3="",$A28=""),"",IF(AND(AA$5=1,COUNTIFS(LvStaff,$A28,LvFrom,"&lt;="&amp;AA$3,LvTo,"&gt;="&amp;AA$3,LvStat,'الإعدادات'!$Q$8)&gt;0),'الإعدادات'!$E$12,IF('خطة الورديات'!AA20="","",'خطة الورديات'!AA20)))</f>
        <v/>
      </c>
      <c r="AB28" s="33">
        <f>IF(OR(AB$3="",$A28=""),"",IF(AND(AB$5=1,COUNTIFS(LvStaff,$A28,LvFrom,"&lt;="&amp;AB$3,LvTo,"&gt;="&amp;AB$3,LvStat,'الإعدادات'!$Q$8)&gt;0),'الإعدادات'!$E$12,IF('خطة الورديات'!AB20="","",'خطة الورديات'!AB20)))</f>
        <v/>
      </c>
      <c r="AC28" s="33">
        <f>IF(OR(AC$3="",$A28=""),"",IF(AND(AC$5=1,COUNTIFS(LvStaff,$A28,LvFrom,"&lt;="&amp;AC$3,LvTo,"&gt;="&amp;AC$3,LvStat,'الإعدادات'!$Q$8)&gt;0),'الإعدادات'!$E$12,IF('خطة الورديات'!AC20="","",'خطة الورديات'!AC20)))</f>
        <v/>
      </c>
      <c r="AD28" s="33">
        <f>IF(OR(AD$3="",$A28=""),"",IF(AND(AD$5=1,COUNTIFS(LvStaff,$A28,LvFrom,"&lt;="&amp;AD$3,LvTo,"&gt;="&amp;AD$3,LvStat,'الإعدادات'!$Q$8)&gt;0),'الإعدادات'!$E$12,IF('خطة الورديات'!AD20="","",'خطة الورديات'!AD20)))</f>
        <v/>
      </c>
      <c r="AE28" s="33">
        <f>IF(OR(AE$3="",$A28=""),"",IF(AND(AE$5=1,COUNTIFS(LvStaff,$A28,LvFrom,"&lt;="&amp;AE$3,LvTo,"&gt;="&amp;AE$3,LvStat,'الإعدادات'!$Q$8)&gt;0),'الإعدادات'!$E$12,IF('خطة الورديات'!AE20="","",'خطة الورديات'!AE20)))</f>
        <v/>
      </c>
      <c r="AF28" s="33">
        <f>IF(OR(AF$3="",$A28=""),"",IF(AND(AF$5=1,COUNTIFS(LvStaff,$A28,LvFrom,"&lt;="&amp;AF$3,LvTo,"&gt;="&amp;AF$3,LvStat,'الإعدادات'!$Q$8)&gt;0),'الإعدادات'!$E$12,IF('خطة الورديات'!AF20="","",'خطة الورديات'!AF20)))</f>
        <v/>
      </c>
      <c r="AG28" s="33">
        <f>IF(OR(AG$3="",$A28=""),"",IF(AND(AG$5=1,COUNTIFS(LvStaff,$A28,LvFrom,"&lt;="&amp;AG$3,LvTo,"&gt;="&amp;AG$3,LvStat,'الإعدادات'!$Q$8)&gt;0),'الإعدادات'!$E$12,IF('خطة الورديات'!AG20="","",'خطة الورديات'!AG20)))</f>
        <v/>
      </c>
      <c r="AI28" s="28">
        <f>IF($A28="","",'الإعدادات'!$I$8*COUNTIFS($C28:$AG28,'الإعدادات'!$E$8,$C$6:$AG$6,1)+'الإعدادات'!$I$9*COUNTIFS($C28:$AG28,'الإعدادات'!$E$9,$C$6:$AG$6,1)+'الإعدادات'!$I$10*COUNTIFS($C28:$AG28,'الإعدادات'!$E$10,$C$6:$AG$6,1)+'الإعدادات'!$I$11*COUNTIFS($C28:$AG28,'الإعدادات'!$E$11,$C$6:$AG$6,1)+'الإعدادات'!$I$12*COUNTIFS($C28:$AG28,'الإعدادات'!$E$12,$C$6:$AG$6,1)+'الإعدادات'!$I$13*COUNTIFS($C28:$AG28,'الإعدادات'!$E$13,$C$6:$AG$6,1)+'الإعدادات'!$I$14*COUNTIFS($C28:$AG28,'الإعدادات'!$E$14,$C$6:$AG$6,1)+'الإعدادات'!$I$15*COUNTIFS($C28:$AG28,'الإعدادات'!$E$15,$C$6:$AG$6,1))</f>
        <v/>
      </c>
      <c r="AJ28" s="28">
        <f>IF($A28="","",'الإعدادات'!$I$8*COUNTIFS($C28:$AG28,'الإعدادات'!$E$8,$C$6:$AG$6,2)+'الإعدادات'!$I$9*COUNTIFS($C28:$AG28,'الإعدادات'!$E$9,$C$6:$AG$6,2)+'الإعدادات'!$I$10*COUNTIFS($C28:$AG28,'الإعدادات'!$E$10,$C$6:$AG$6,2)+'الإعدادات'!$I$11*COUNTIFS($C28:$AG28,'الإعدادات'!$E$11,$C$6:$AG$6,2)+'الإعدادات'!$I$12*COUNTIFS($C28:$AG28,'الإعدادات'!$E$12,$C$6:$AG$6,2)+'الإعدادات'!$I$13*COUNTIFS($C28:$AG28,'الإعدادات'!$E$13,$C$6:$AG$6,2)+'الإعدادات'!$I$14*COUNTIFS($C28:$AG28,'الإعدادات'!$E$14,$C$6:$AG$6,2)+'الإعدادات'!$I$15*COUNTIFS($C28:$AG28,'الإعدادات'!$E$15,$C$6:$AG$6,2))</f>
        <v/>
      </c>
      <c r="AK28" s="28">
        <f>IF($A28="","",'الإعدادات'!$I$8*COUNTIFS($C28:$AG28,'الإعدادات'!$E$8,$C$6:$AG$6,3)+'الإعدادات'!$I$9*COUNTIFS($C28:$AG28,'الإعدادات'!$E$9,$C$6:$AG$6,3)+'الإعدادات'!$I$10*COUNTIFS($C28:$AG28,'الإعدادات'!$E$10,$C$6:$AG$6,3)+'الإعدادات'!$I$11*COUNTIFS($C28:$AG28,'الإعدادات'!$E$11,$C$6:$AG$6,3)+'الإعدادات'!$I$12*COUNTIFS($C28:$AG28,'الإعدادات'!$E$12,$C$6:$AG$6,3)+'الإعدادات'!$I$13*COUNTIFS($C28:$AG28,'الإعدادات'!$E$13,$C$6:$AG$6,3)+'الإعدادات'!$I$14*COUNTIFS($C28:$AG28,'الإعدادات'!$E$14,$C$6:$AG$6,3)+'الإعدادات'!$I$15*COUNTIFS($C28:$AG28,'الإعدادات'!$E$15,$C$6:$AG$6,3))</f>
        <v/>
      </c>
      <c r="AL28" s="28">
        <f>IF($A28="","",'الإعدادات'!$I$8*COUNTIFS($C28:$AG28,'الإعدادات'!$E$8,$C$6:$AG$6,4)+'الإعدادات'!$I$9*COUNTIFS($C28:$AG28,'الإعدادات'!$E$9,$C$6:$AG$6,4)+'الإعدادات'!$I$10*COUNTIFS($C28:$AG28,'الإعدادات'!$E$10,$C$6:$AG$6,4)+'الإعدادات'!$I$11*COUNTIFS($C28:$AG28,'الإعدادات'!$E$11,$C$6:$AG$6,4)+'الإعدادات'!$I$12*COUNTIFS($C28:$AG28,'الإعدادات'!$E$12,$C$6:$AG$6,4)+'الإعدادات'!$I$13*COUNTIFS($C28:$AG28,'الإعدادات'!$E$13,$C$6:$AG$6,4)+'الإعدادات'!$I$14*COUNTIFS($C28:$AG28,'الإعدادات'!$E$14,$C$6:$AG$6,4)+'الإعدادات'!$I$15*COUNTIFS($C28:$AG28,'الإعدادات'!$E$15,$C$6:$AG$6,4))</f>
        <v/>
      </c>
      <c r="AM28" s="28">
        <f>IF($A28="","",'الإعدادات'!$I$8*COUNTIFS($C28:$AG28,'الإعدادات'!$E$8,$C$6:$AG$6,5)+'الإعدادات'!$I$9*COUNTIFS($C28:$AG28,'الإعدادات'!$E$9,$C$6:$AG$6,5)+'الإعدادات'!$I$10*COUNTIFS($C28:$AG28,'الإعدادات'!$E$10,$C$6:$AG$6,5)+'الإعدادات'!$I$11*COUNTIFS($C28:$AG28,'الإعدادات'!$E$11,$C$6:$AG$6,5)+'الإعدادات'!$I$12*COUNTIFS($C28:$AG28,'الإعدادات'!$E$12,$C$6:$AG$6,5)+'الإعدادات'!$I$13*COUNTIFS($C28:$AG28,'الإعدادات'!$E$13,$C$6:$AG$6,5)+'الإعدادات'!$I$14*COUNTIFS($C28:$AG28,'الإعدادات'!$E$14,$C$6:$AG$6,5)+'الإعدادات'!$I$15*COUNTIFS($C28:$AG28,'الإعدادات'!$E$15,$C$6:$AG$6,5))</f>
        <v/>
      </c>
      <c r="AN28" s="28">
        <f>IF($A28="","",'الإعدادات'!$I$8*COUNTIFS($C28:$AG28,'الإعدادات'!$E$8,$C$6:$AG$6,6)+'الإعدادات'!$I$9*COUNTIFS($C28:$AG28,'الإعدادات'!$E$9,$C$6:$AG$6,6)+'الإعدادات'!$I$10*COUNTIFS($C28:$AG28,'الإعدادات'!$E$10,$C$6:$AG$6,6)+'الإعدادات'!$I$11*COUNTIFS($C28:$AG28,'الإعدادات'!$E$11,$C$6:$AG$6,6)+'الإعدادات'!$I$12*COUNTIFS($C28:$AG28,'الإعدادات'!$E$12,$C$6:$AG$6,6)+'الإعدادات'!$I$13*COUNTIFS($C28:$AG28,'الإعدادات'!$E$13,$C$6:$AG$6,6)+'الإعدادات'!$I$14*COUNTIFS($C28:$AG28,'الإعدادات'!$E$14,$C$6:$AG$6,6)+'الإعدادات'!$I$15*COUNTIFS($C28:$AG28,'الإعدادات'!$E$15,$C$6:$AG$6,6))</f>
        <v/>
      </c>
      <c r="AO28" s="28">
        <f>IF($A28="","",IFERROR(INDEX(StaffLimit,MATCH($A28,Staff,0)),""))</f>
        <v/>
      </c>
      <c r="AP28" s="34">
        <f>IF($A28="","",SUM(AI28:AN28))</f>
        <v/>
      </c>
      <c r="AQ28" s="28">
        <f>IF($A28="","",COUNTIF($C28:$AG28,'الإعدادات'!$E$11))</f>
        <v/>
      </c>
      <c r="AR28" s="28">
        <f>IF($A28="","",COUNTIF($C28:$AG28,'الإعدادات'!$E$12))</f>
        <v/>
      </c>
    </row>
    <row r="29">
      <c r="A29" s="8">
        <f>IF('خطة الورديات'!A21="","",'خطة الورديات'!A21)</f>
        <v/>
      </c>
      <c r="B29" s="8">
        <f>IF(A29="","",IFERROR(INDEX(StaffRole,MATCH(A29,Staff,0)),""))</f>
        <v/>
      </c>
      <c r="C29" s="33">
        <f>IF(OR(C$3="",$A29=""),"",IF(AND(C$5=1,COUNTIFS(LvStaff,$A29,LvFrom,"&lt;="&amp;C$3,LvTo,"&gt;="&amp;C$3,LvStat,'الإعدادات'!$Q$8)&gt;0),'الإعدادات'!$E$12,IF('خطة الورديات'!C21="","",'خطة الورديات'!C21)))</f>
        <v/>
      </c>
      <c r="D29" s="33">
        <f>IF(OR(D$3="",$A29=""),"",IF(AND(D$5=1,COUNTIFS(LvStaff,$A29,LvFrom,"&lt;="&amp;D$3,LvTo,"&gt;="&amp;D$3,LvStat,'الإعدادات'!$Q$8)&gt;0),'الإعدادات'!$E$12,IF('خطة الورديات'!D21="","",'خطة الورديات'!D21)))</f>
        <v/>
      </c>
      <c r="E29" s="33">
        <f>IF(OR(E$3="",$A29=""),"",IF(AND(E$5=1,COUNTIFS(LvStaff,$A29,LvFrom,"&lt;="&amp;E$3,LvTo,"&gt;="&amp;E$3,LvStat,'الإعدادات'!$Q$8)&gt;0),'الإعدادات'!$E$12,IF('خطة الورديات'!E21="","",'خطة الورديات'!E21)))</f>
        <v/>
      </c>
      <c r="F29" s="33">
        <f>IF(OR(F$3="",$A29=""),"",IF(AND(F$5=1,COUNTIFS(LvStaff,$A29,LvFrom,"&lt;="&amp;F$3,LvTo,"&gt;="&amp;F$3,LvStat,'الإعدادات'!$Q$8)&gt;0),'الإعدادات'!$E$12,IF('خطة الورديات'!F21="","",'خطة الورديات'!F21)))</f>
        <v/>
      </c>
      <c r="G29" s="33">
        <f>IF(OR(G$3="",$A29=""),"",IF(AND(G$5=1,COUNTIFS(LvStaff,$A29,LvFrom,"&lt;="&amp;G$3,LvTo,"&gt;="&amp;G$3,LvStat,'الإعدادات'!$Q$8)&gt;0),'الإعدادات'!$E$12,IF('خطة الورديات'!G21="","",'خطة الورديات'!G21)))</f>
        <v/>
      </c>
      <c r="H29" s="33">
        <f>IF(OR(H$3="",$A29=""),"",IF(AND(H$5=1,COUNTIFS(LvStaff,$A29,LvFrom,"&lt;="&amp;H$3,LvTo,"&gt;="&amp;H$3,LvStat,'الإعدادات'!$Q$8)&gt;0),'الإعدادات'!$E$12,IF('خطة الورديات'!H21="","",'خطة الورديات'!H21)))</f>
        <v/>
      </c>
      <c r="I29" s="33">
        <f>IF(OR(I$3="",$A29=""),"",IF(AND(I$5=1,COUNTIFS(LvStaff,$A29,LvFrom,"&lt;="&amp;I$3,LvTo,"&gt;="&amp;I$3,LvStat,'الإعدادات'!$Q$8)&gt;0),'الإعدادات'!$E$12,IF('خطة الورديات'!I21="","",'خطة الورديات'!I21)))</f>
        <v/>
      </c>
      <c r="J29" s="33">
        <f>IF(OR(J$3="",$A29=""),"",IF(AND(J$5=1,COUNTIFS(LvStaff,$A29,LvFrom,"&lt;="&amp;J$3,LvTo,"&gt;="&amp;J$3,LvStat,'الإعدادات'!$Q$8)&gt;0),'الإعدادات'!$E$12,IF('خطة الورديات'!J21="","",'خطة الورديات'!J21)))</f>
        <v/>
      </c>
      <c r="K29" s="33">
        <f>IF(OR(K$3="",$A29=""),"",IF(AND(K$5=1,COUNTIFS(LvStaff,$A29,LvFrom,"&lt;="&amp;K$3,LvTo,"&gt;="&amp;K$3,LvStat,'الإعدادات'!$Q$8)&gt;0),'الإعدادات'!$E$12,IF('خطة الورديات'!K21="","",'خطة الورديات'!K21)))</f>
        <v/>
      </c>
      <c r="L29" s="33">
        <f>IF(OR(L$3="",$A29=""),"",IF(AND(L$5=1,COUNTIFS(LvStaff,$A29,LvFrom,"&lt;="&amp;L$3,LvTo,"&gt;="&amp;L$3,LvStat,'الإعدادات'!$Q$8)&gt;0),'الإعدادات'!$E$12,IF('خطة الورديات'!L21="","",'خطة الورديات'!L21)))</f>
        <v/>
      </c>
      <c r="M29" s="33">
        <f>IF(OR(M$3="",$A29=""),"",IF(AND(M$5=1,COUNTIFS(LvStaff,$A29,LvFrom,"&lt;="&amp;M$3,LvTo,"&gt;="&amp;M$3,LvStat,'الإعدادات'!$Q$8)&gt;0),'الإعدادات'!$E$12,IF('خطة الورديات'!M21="","",'خطة الورديات'!M21)))</f>
        <v/>
      </c>
      <c r="N29" s="33">
        <f>IF(OR(N$3="",$A29=""),"",IF(AND(N$5=1,COUNTIFS(LvStaff,$A29,LvFrom,"&lt;="&amp;N$3,LvTo,"&gt;="&amp;N$3,LvStat,'الإعدادات'!$Q$8)&gt;0),'الإعدادات'!$E$12,IF('خطة الورديات'!N21="","",'خطة الورديات'!N21)))</f>
        <v/>
      </c>
      <c r="O29" s="33">
        <f>IF(OR(O$3="",$A29=""),"",IF(AND(O$5=1,COUNTIFS(LvStaff,$A29,LvFrom,"&lt;="&amp;O$3,LvTo,"&gt;="&amp;O$3,LvStat,'الإعدادات'!$Q$8)&gt;0),'الإعدادات'!$E$12,IF('خطة الورديات'!O21="","",'خطة الورديات'!O21)))</f>
        <v/>
      </c>
      <c r="P29" s="33">
        <f>IF(OR(P$3="",$A29=""),"",IF(AND(P$5=1,COUNTIFS(LvStaff,$A29,LvFrom,"&lt;="&amp;P$3,LvTo,"&gt;="&amp;P$3,LvStat,'الإعدادات'!$Q$8)&gt;0),'الإعدادات'!$E$12,IF('خطة الورديات'!P21="","",'خطة الورديات'!P21)))</f>
        <v/>
      </c>
      <c r="Q29" s="33">
        <f>IF(OR(Q$3="",$A29=""),"",IF(AND(Q$5=1,COUNTIFS(LvStaff,$A29,LvFrom,"&lt;="&amp;Q$3,LvTo,"&gt;="&amp;Q$3,LvStat,'الإعدادات'!$Q$8)&gt;0),'الإعدادات'!$E$12,IF('خطة الورديات'!Q21="","",'خطة الورديات'!Q21)))</f>
        <v/>
      </c>
      <c r="R29" s="33">
        <f>IF(OR(R$3="",$A29=""),"",IF(AND(R$5=1,COUNTIFS(LvStaff,$A29,LvFrom,"&lt;="&amp;R$3,LvTo,"&gt;="&amp;R$3,LvStat,'الإعدادات'!$Q$8)&gt;0),'الإعدادات'!$E$12,IF('خطة الورديات'!R21="","",'خطة الورديات'!R21)))</f>
        <v/>
      </c>
      <c r="S29" s="33">
        <f>IF(OR(S$3="",$A29=""),"",IF(AND(S$5=1,COUNTIFS(LvStaff,$A29,LvFrom,"&lt;="&amp;S$3,LvTo,"&gt;="&amp;S$3,LvStat,'الإعدادات'!$Q$8)&gt;0),'الإعدادات'!$E$12,IF('خطة الورديات'!S21="","",'خطة الورديات'!S21)))</f>
        <v/>
      </c>
      <c r="T29" s="33">
        <f>IF(OR(T$3="",$A29=""),"",IF(AND(T$5=1,COUNTIFS(LvStaff,$A29,LvFrom,"&lt;="&amp;T$3,LvTo,"&gt;="&amp;T$3,LvStat,'الإعدادات'!$Q$8)&gt;0),'الإعدادات'!$E$12,IF('خطة الورديات'!T21="","",'خطة الورديات'!T21)))</f>
        <v/>
      </c>
      <c r="U29" s="33">
        <f>IF(OR(U$3="",$A29=""),"",IF(AND(U$5=1,COUNTIFS(LvStaff,$A29,LvFrom,"&lt;="&amp;U$3,LvTo,"&gt;="&amp;U$3,LvStat,'الإعدادات'!$Q$8)&gt;0),'الإعدادات'!$E$12,IF('خطة الورديات'!U21="","",'خطة الورديات'!U21)))</f>
        <v/>
      </c>
      <c r="V29" s="33">
        <f>IF(OR(V$3="",$A29=""),"",IF(AND(V$5=1,COUNTIFS(LvStaff,$A29,LvFrom,"&lt;="&amp;V$3,LvTo,"&gt;="&amp;V$3,LvStat,'الإعدادات'!$Q$8)&gt;0),'الإعدادات'!$E$12,IF('خطة الورديات'!V21="","",'خطة الورديات'!V21)))</f>
        <v/>
      </c>
      <c r="W29" s="33">
        <f>IF(OR(W$3="",$A29=""),"",IF(AND(W$5=1,COUNTIFS(LvStaff,$A29,LvFrom,"&lt;="&amp;W$3,LvTo,"&gt;="&amp;W$3,LvStat,'الإعدادات'!$Q$8)&gt;0),'الإعدادات'!$E$12,IF('خطة الورديات'!W21="","",'خطة الورديات'!W21)))</f>
        <v/>
      </c>
      <c r="X29" s="33">
        <f>IF(OR(X$3="",$A29=""),"",IF(AND(X$5=1,COUNTIFS(LvStaff,$A29,LvFrom,"&lt;="&amp;X$3,LvTo,"&gt;="&amp;X$3,LvStat,'الإعدادات'!$Q$8)&gt;0),'الإعدادات'!$E$12,IF('خطة الورديات'!X21="","",'خطة الورديات'!X21)))</f>
        <v/>
      </c>
      <c r="Y29" s="33">
        <f>IF(OR(Y$3="",$A29=""),"",IF(AND(Y$5=1,COUNTIFS(LvStaff,$A29,LvFrom,"&lt;="&amp;Y$3,LvTo,"&gt;="&amp;Y$3,LvStat,'الإعدادات'!$Q$8)&gt;0),'الإعدادات'!$E$12,IF('خطة الورديات'!Y21="","",'خطة الورديات'!Y21)))</f>
        <v/>
      </c>
      <c r="Z29" s="33">
        <f>IF(OR(Z$3="",$A29=""),"",IF(AND(Z$5=1,COUNTIFS(LvStaff,$A29,LvFrom,"&lt;="&amp;Z$3,LvTo,"&gt;="&amp;Z$3,LvStat,'الإعدادات'!$Q$8)&gt;0),'الإعدادات'!$E$12,IF('خطة الورديات'!Z21="","",'خطة الورديات'!Z21)))</f>
        <v/>
      </c>
      <c r="AA29" s="33">
        <f>IF(OR(AA$3="",$A29=""),"",IF(AND(AA$5=1,COUNTIFS(LvStaff,$A29,LvFrom,"&lt;="&amp;AA$3,LvTo,"&gt;="&amp;AA$3,LvStat,'الإعدادات'!$Q$8)&gt;0),'الإعدادات'!$E$12,IF('خطة الورديات'!AA21="","",'خطة الورديات'!AA21)))</f>
        <v/>
      </c>
      <c r="AB29" s="33">
        <f>IF(OR(AB$3="",$A29=""),"",IF(AND(AB$5=1,COUNTIFS(LvStaff,$A29,LvFrom,"&lt;="&amp;AB$3,LvTo,"&gt;="&amp;AB$3,LvStat,'الإعدادات'!$Q$8)&gt;0),'الإعدادات'!$E$12,IF('خطة الورديات'!AB21="","",'خطة الورديات'!AB21)))</f>
        <v/>
      </c>
      <c r="AC29" s="33">
        <f>IF(OR(AC$3="",$A29=""),"",IF(AND(AC$5=1,COUNTIFS(LvStaff,$A29,LvFrom,"&lt;="&amp;AC$3,LvTo,"&gt;="&amp;AC$3,LvStat,'الإعدادات'!$Q$8)&gt;0),'الإعدادات'!$E$12,IF('خطة الورديات'!AC21="","",'خطة الورديات'!AC21)))</f>
        <v/>
      </c>
      <c r="AD29" s="33">
        <f>IF(OR(AD$3="",$A29=""),"",IF(AND(AD$5=1,COUNTIFS(LvStaff,$A29,LvFrom,"&lt;="&amp;AD$3,LvTo,"&gt;="&amp;AD$3,LvStat,'الإعدادات'!$Q$8)&gt;0),'الإعدادات'!$E$12,IF('خطة الورديات'!AD21="","",'خطة الورديات'!AD21)))</f>
        <v/>
      </c>
      <c r="AE29" s="33">
        <f>IF(OR(AE$3="",$A29=""),"",IF(AND(AE$5=1,COUNTIFS(LvStaff,$A29,LvFrom,"&lt;="&amp;AE$3,LvTo,"&gt;="&amp;AE$3,LvStat,'الإعدادات'!$Q$8)&gt;0),'الإعدادات'!$E$12,IF('خطة الورديات'!AE21="","",'خطة الورديات'!AE21)))</f>
        <v/>
      </c>
      <c r="AF29" s="33">
        <f>IF(OR(AF$3="",$A29=""),"",IF(AND(AF$5=1,COUNTIFS(LvStaff,$A29,LvFrom,"&lt;="&amp;AF$3,LvTo,"&gt;="&amp;AF$3,LvStat,'الإعدادات'!$Q$8)&gt;0),'الإعدادات'!$E$12,IF('خطة الورديات'!AF21="","",'خطة الورديات'!AF21)))</f>
        <v/>
      </c>
      <c r="AG29" s="33">
        <f>IF(OR(AG$3="",$A29=""),"",IF(AND(AG$5=1,COUNTIFS(LvStaff,$A29,LvFrom,"&lt;="&amp;AG$3,LvTo,"&gt;="&amp;AG$3,LvStat,'الإعدادات'!$Q$8)&gt;0),'الإعدادات'!$E$12,IF('خطة الورديات'!AG21="","",'خطة الورديات'!AG21)))</f>
        <v/>
      </c>
      <c r="AI29" s="28">
        <f>IF($A29="","",'الإعدادات'!$I$8*COUNTIFS($C29:$AG29,'الإعدادات'!$E$8,$C$6:$AG$6,1)+'الإعدادات'!$I$9*COUNTIFS($C29:$AG29,'الإعدادات'!$E$9,$C$6:$AG$6,1)+'الإعدادات'!$I$10*COUNTIFS($C29:$AG29,'الإعدادات'!$E$10,$C$6:$AG$6,1)+'الإعدادات'!$I$11*COUNTIFS($C29:$AG29,'الإعدادات'!$E$11,$C$6:$AG$6,1)+'الإعدادات'!$I$12*COUNTIFS($C29:$AG29,'الإعدادات'!$E$12,$C$6:$AG$6,1)+'الإعدادات'!$I$13*COUNTIFS($C29:$AG29,'الإعدادات'!$E$13,$C$6:$AG$6,1)+'الإعدادات'!$I$14*COUNTIFS($C29:$AG29,'الإعدادات'!$E$14,$C$6:$AG$6,1)+'الإعدادات'!$I$15*COUNTIFS($C29:$AG29,'الإعدادات'!$E$15,$C$6:$AG$6,1))</f>
        <v/>
      </c>
      <c r="AJ29" s="28">
        <f>IF($A29="","",'الإعدادات'!$I$8*COUNTIFS($C29:$AG29,'الإعدادات'!$E$8,$C$6:$AG$6,2)+'الإعدادات'!$I$9*COUNTIFS($C29:$AG29,'الإعدادات'!$E$9,$C$6:$AG$6,2)+'الإعدادات'!$I$10*COUNTIFS($C29:$AG29,'الإعدادات'!$E$10,$C$6:$AG$6,2)+'الإعدادات'!$I$11*COUNTIFS($C29:$AG29,'الإعدادات'!$E$11,$C$6:$AG$6,2)+'الإعدادات'!$I$12*COUNTIFS($C29:$AG29,'الإعدادات'!$E$12,$C$6:$AG$6,2)+'الإعدادات'!$I$13*COUNTIFS($C29:$AG29,'الإعدادات'!$E$13,$C$6:$AG$6,2)+'الإعدادات'!$I$14*COUNTIFS($C29:$AG29,'الإعدادات'!$E$14,$C$6:$AG$6,2)+'الإعدادات'!$I$15*COUNTIFS($C29:$AG29,'الإعدادات'!$E$15,$C$6:$AG$6,2))</f>
        <v/>
      </c>
      <c r="AK29" s="28">
        <f>IF($A29="","",'الإعدادات'!$I$8*COUNTIFS($C29:$AG29,'الإعدادات'!$E$8,$C$6:$AG$6,3)+'الإعدادات'!$I$9*COUNTIFS($C29:$AG29,'الإعدادات'!$E$9,$C$6:$AG$6,3)+'الإعدادات'!$I$10*COUNTIFS($C29:$AG29,'الإعدادات'!$E$10,$C$6:$AG$6,3)+'الإعدادات'!$I$11*COUNTIFS($C29:$AG29,'الإعدادات'!$E$11,$C$6:$AG$6,3)+'الإعدادات'!$I$12*COUNTIFS($C29:$AG29,'الإعدادات'!$E$12,$C$6:$AG$6,3)+'الإعدادات'!$I$13*COUNTIFS($C29:$AG29,'الإعدادات'!$E$13,$C$6:$AG$6,3)+'الإعدادات'!$I$14*COUNTIFS($C29:$AG29,'الإعدادات'!$E$14,$C$6:$AG$6,3)+'الإعدادات'!$I$15*COUNTIFS($C29:$AG29,'الإعدادات'!$E$15,$C$6:$AG$6,3))</f>
        <v/>
      </c>
      <c r="AL29" s="28">
        <f>IF($A29="","",'الإعدادات'!$I$8*COUNTIFS($C29:$AG29,'الإعدادات'!$E$8,$C$6:$AG$6,4)+'الإعدادات'!$I$9*COUNTIFS($C29:$AG29,'الإعدادات'!$E$9,$C$6:$AG$6,4)+'الإعدادات'!$I$10*COUNTIFS($C29:$AG29,'الإعدادات'!$E$10,$C$6:$AG$6,4)+'الإعدادات'!$I$11*COUNTIFS($C29:$AG29,'الإعدادات'!$E$11,$C$6:$AG$6,4)+'الإعدادات'!$I$12*COUNTIFS($C29:$AG29,'الإعدادات'!$E$12,$C$6:$AG$6,4)+'الإعدادات'!$I$13*COUNTIFS($C29:$AG29,'الإعدادات'!$E$13,$C$6:$AG$6,4)+'الإعدادات'!$I$14*COUNTIFS($C29:$AG29,'الإعدادات'!$E$14,$C$6:$AG$6,4)+'الإعدادات'!$I$15*COUNTIFS($C29:$AG29,'الإعدادات'!$E$15,$C$6:$AG$6,4))</f>
        <v/>
      </c>
      <c r="AM29" s="28">
        <f>IF($A29="","",'الإعدادات'!$I$8*COUNTIFS($C29:$AG29,'الإعدادات'!$E$8,$C$6:$AG$6,5)+'الإعدادات'!$I$9*COUNTIFS($C29:$AG29,'الإعدادات'!$E$9,$C$6:$AG$6,5)+'الإعدادات'!$I$10*COUNTIFS($C29:$AG29,'الإعدادات'!$E$10,$C$6:$AG$6,5)+'الإعدادات'!$I$11*COUNTIFS($C29:$AG29,'الإعدادات'!$E$11,$C$6:$AG$6,5)+'الإعدادات'!$I$12*COUNTIFS($C29:$AG29,'الإعدادات'!$E$12,$C$6:$AG$6,5)+'الإعدادات'!$I$13*COUNTIFS($C29:$AG29,'الإعدادات'!$E$13,$C$6:$AG$6,5)+'الإعدادات'!$I$14*COUNTIFS($C29:$AG29,'الإعدادات'!$E$14,$C$6:$AG$6,5)+'الإعدادات'!$I$15*COUNTIFS($C29:$AG29,'الإعدادات'!$E$15,$C$6:$AG$6,5))</f>
        <v/>
      </c>
      <c r="AN29" s="28">
        <f>IF($A29="","",'الإعدادات'!$I$8*COUNTIFS($C29:$AG29,'الإعدادات'!$E$8,$C$6:$AG$6,6)+'الإعدادات'!$I$9*COUNTIFS($C29:$AG29,'الإعدادات'!$E$9,$C$6:$AG$6,6)+'الإعدادات'!$I$10*COUNTIFS($C29:$AG29,'الإعدادات'!$E$10,$C$6:$AG$6,6)+'الإعدادات'!$I$11*COUNTIFS($C29:$AG29,'الإعدادات'!$E$11,$C$6:$AG$6,6)+'الإعدادات'!$I$12*COUNTIFS($C29:$AG29,'الإعدادات'!$E$12,$C$6:$AG$6,6)+'الإعدادات'!$I$13*COUNTIFS($C29:$AG29,'الإعدادات'!$E$13,$C$6:$AG$6,6)+'الإعدادات'!$I$14*COUNTIFS($C29:$AG29,'الإعدادات'!$E$14,$C$6:$AG$6,6)+'الإعدادات'!$I$15*COUNTIFS($C29:$AG29,'الإعدادات'!$E$15,$C$6:$AG$6,6))</f>
        <v/>
      </c>
      <c r="AO29" s="28">
        <f>IF($A29="","",IFERROR(INDEX(StaffLimit,MATCH($A29,Staff,0)),""))</f>
        <v/>
      </c>
      <c r="AP29" s="34">
        <f>IF($A29="","",SUM(AI29:AN29))</f>
        <v/>
      </c>
      <c r="AQ29" s="28">
        <f>IF($A29="","",COUNTIF($C29:$AG29,'الإعدادات'!$E$11))</f>
        <v/>
      </c>
      <c r="AR29" s="28">
        <f>IF($A29="","",COUNTIF($C29:$AG29,'الإعدادات'!$E$12))</f>
        <v/>
      </c>
    </row>
    <row r="30">
      <c r="A30" s="8">
        <f>IF('خطة الورديات'!A22="","",'خطة الورديات'!A22)</f>
        <v/>
      </c>
      <c r="B30" s="8">
        <f>IF(A30="","",IFERROR(INDEX(StaffRole,MATCH(A30,Staff,0)),""))</f>
        <v/>
      </c>
      <c r="C30" s="33">
        <f>IF(OR(C$3="",$A30=""),"",IF(AND(C$5=1,COUNTIFS(LvStaff,$A30,LvFrom,"&lt;="&amp;C$3,LvTo,"&gt;="&amp;C$3,LvStat,'الإعدادات'!$Q$8)&gt;0),'الإعدادات'!$E$12,IF('خطة الورديات'!C22="","",'خطة الورديات'!C22)))</f>
        <v/>
      </c>
      <c r="D30" s="33">
        <f>IF(OR(D$3="",$A30=""),"",IF(AND(D$5=1,COUNTIFS(LvStaff,$A30,LvFrom,"&lt;="&amp;D$3,LvTo,"&gt;="&amp;D$3,LvStat,'الإعدادات'!$Q$8)&gt;0),'الإعدادات'!$E$12,IF('خطة الورديات'!D22="","",'خطة الورديات'!D22)))</f>
        <v/>
      </c>
      <c r="E30" s="33">
        <f>IF(OR(E$3="",$A30=""),"",IF(AND(E$5=1,COUNTIFS(LvStaff,$A30,LvFrom,"&lt;="&amp;E$3,LvTo,"&gt;="&amp;E$3,LvStat,'الإعدادات'!$Q$8)&gt;0),'الإعدادات'!$E$12,IF('خطة الورديات'!E22="","",'خطة الورديات'!E22)))</f>
        <v/>
      </c>
      <c r="F30" s="33">
        <f>IF(OR(F$3="",$A30=""),"",IF(AND(F$5=1,COUNTIFS(LvStaff,$A30,LvFrom,"&lt;="&amp;F$3,LvTo,"&gt;="&amp;F$3,LvStat,'الإعدادات'!$Q$8)&gt;0),'الإعدادات'!$E$12,IF('خطة الورديات'!F22="","",'خطة الورديات'!F22)))</f>
        <v/>
      </c>
      <c r="G30" s="33">
        <f>IF(OR(G$3="",$A30=""),"",IF(AND(G$5=1,COUNTIFS(LvStaff,$A30,LvFrom,"&lt;="&amp;G$3,LvTo,"&gt;="&amp;G$3,LvStat,'الإعدادات'!$Q$8)&gt;0),'الإعدادات'!$E$12,IF('خطة الورديات'!G22="","",'خطة الورديات'!G22)))</f>
        <v/>
      </c>
      <c r="H30" s="33">
        <f>IF(OR(H$3="",$A30=""),"",IF(AND(H$5=1,COUNTIFS(LvStaff,$A30,LvFrom,"&lt;="&amp;H$3,LvTo,"&gt;="&amp;H$3,LvStat,'الإعدادات'!$Q$8)&gt;0),'الإعدادات'!$E$12,IF('خطة الورديات'!H22="","",'خطة الورديات'!H22)))</f>
        <v/>
      </c>
      <c r="I30" s="33">
        <f>IF(OR(I$3="",$A30=""),"",IF(AND(I$5=1,COUNTIFS(LvStaff,$A30,LvFrom,"&lt;="&amp;I$3,LvTo,"&gt;="&amp;I$3,LvStat,'الإعدادات'!$Q$8)&gt;0),'الإعدادات'!$E$12,IF('خطة الورديات'!I22="","",'خطة الورديات'!I22)))</f>
        <v/>
      </c>
      <c r="J30" s="33">
        <f>IF(OR(J$3="",$A30=""),"",IF(AND(J$5=1,COUNTIFS(LvStaff,$A30,LvFrom,"&lt;="&amp;J$3,LvTo,"&gt;="&amp;J$3,LvStat,'الإعدادات'!$Q$8)&gt;0),'الإعدادات'!$E$12,IF('خطة الورديات'!J22="","",'خطة الورديات'!J22)))</f>
        <v/>
      </c>
      <c r="K30" s="33">
        <f>IF(OR(K$3="",$A30=""),"",IF(AND(K$5=1,COUNTIFS(LvStaff,$A30,LvFrom,"&lt;="&amp;K$3,LvTo,"&gt;="&amp;K$3,LvStat,'الإعدادات'!$Q$8)&gt;0),'الإعدادات'!$E$12,IF('خطة الورديات'!K22="","",'خطة الورديات'!K22)))</f>
        <v/>
      </c>
      <c r="L30" s="33">
        <f>IF(OR(L$3="",$A30=""),"",IF(AND(L$5=1,COUNTIFS(LvStaff,$A30,LvFrom,"&lt;="&amp;L$3,LvTo,"&gt;="&amp;L$3,LvStat,'الإعدادات'!$Q$8)&gt;0),'الإعدادات'!$E$12,IF('خطة الورديات'!L22="","",'خطة الورديات'!L22)))</f>
        <v/>
      </c>
      <c r="M30" s="33">
        <f>IF(OR(M$3="",$A30=""),"",IF(AND(M$5=1,COUNTIFS(LvStaff,$A30,LvFrom,"&lt;="&amp;M$3,LvTo,"&gt;="&amp;M$3,LvStat,'الإعدادات'!$Q$8)&gt;0),'الإعدادات'!$E$12,IF('خطة الورديات'!M22="","",'خطة الورديات'!M22)))</f>
        <v/>
      </c>
      <c r="N30" s="33">
        <f>IF(OR(N$3="",$A30=""),"",IF(AND(N$5=1,COUNTIFS(LvStaff,$A30,LvFrom,"&lt;="&amp;N$3,LvTo,"&gt;="&amp;N$3,LvStat,'الإعدادات'!$Q$8)&gt;0),'الإعدادات'!$E$12,IF('خطة الورديات'!N22="","",'خطة الورديات'!N22)))</f>
        <v/>
      </c>
      <c r="O30" s="33">
        <f>IF(OR(O$3="",$A30=""),"",IF(AND(O$5=1,COUNTIFS(LvStaff,$A30,LvFrom,"&lt;="&amp;O$3,LvTo,"&gt;="&amp;O$3,LvStat,'الإعدادات'!$Q$8)&gt;0),'الإعدادات'!$E$12,IF('خطة الورديات'!O22="","",'خطة الورديات'!O22)))</f>
        <v/>
      </c>
      <c r="P30" s="33">
        <f>IF(OR(P$3="",$A30=""),"",IF(AND(P$5=1,COUNTIFS(LvStaff,$A30,LvFrom,"&lt;="&amp;P$3,LvTo,"&gt;="&amp;P$3,LvStat,'الإعدادات'!$Q$8)&gt;0),'الإعدادات'!$E$12,IF('خطة الورديات'!P22="","",'خطة الورديات'!P22)))</f>
        <v/>
      </c>
      <c r="Q30" s="33">
        <f>IF(OR(Q$3="",$A30=""),"",IF(AND(Q$5=1,COUNTIFS(LvStaff,$A30,LvFrom,"&lt;="&amp;Q$3,LvTo,"&gt;="&amp;Q$3,LvStat,'الإعدادات'!$Q$8)&gt;0),'الإعدادات'!$E$12,IF('خطة الورديات'!Q22="","",'خطة الورديات'!Q22)))</f>
        <v/>
      </c>
      <c r="R30" s="33">
        <f>IF(OR(R$3="",$A30=""),"",IF(AND(R$5=1,COUNTIFS(LvStaff,$A30,LvFrom,"&lt;="&amp;R$3,LvTo,"&gt;="&amp;R$3,LvStat,'الإعدادات'!$Q$8)&gt;0),'الإعدادات'!$E$12,IF('خطة الورديات'!R22="","",'خطة الورديات'!R22)))</f>
        <v/>
      </c>
      <c r="S30" s="33">
        <f>IF(OR(S$3="",$A30=""),"",IF(AND(S$5=1,COUNTIFS(LvStaff,$A30,LvFrom,"&lt;="&amp;S$3,LvTo,"&gt;="&amp;S$3,LvStat,'الإعدادات'!$Q$8)&gt;0),'الإعدادات'!$E$12,IF('خطة الورديات'!S22="","",'خطة الورديات'!S22)))</f>
        <v/>
      </c>
      <c r="T30" s="33">
        <f>IF(OR(T$3="",$A30=""),"",IF(AND(T$5=1,COUNTIFS(LvStaff,$A30,LvFrom,"&lt;="&amp;T$3,LvTo,"&gt;="&amp;T$3,LvStat,'الإعدادات'!$Q$8)&gt;0),'الإعدادات'!$E$12,IF('خطة الورديات'!T22="","",'خطة الورديات'!T22)))</f>
        <v/>
      </c>
      <c r="U30" s="33">
        <f>IF(OR(U$3="",$A30=""),"",IF(AND(U$5=1,COUNTIFS(LvStaff,$A30,LvFrom,"&lt;="&amp;U$3,LvTo,"&gt;="&amp;U$3,LvStat,'الإعدادات'!$Q$8)&gt;0),'الإعدادات'!$E$12,IF('خطة الورديات'!U22="","",'خطة الورديات'!U22)))</f>
        <v/>
      </c>
      <c r="V30" s="33">
        <f>IF(OR(V$3="",$A30=""),"",IF(AND(V$5=1,COUNTIFS(LvStaff,$A30,LvFrom,"&lt;="&amp;V$3,LvTo,"&gt;="&amp;V$3,LvStat,'الإعدادات'!$Q$8)&gt;0),'الإعدادات'!$E$12,IF('خطة الورديات'!V22="","",'خطة الورديات'!V22)))</f>
        <v/>
      </c>
      <c r="W30" s="33">
        <f>IF(OR(W$3="",$A30=""),"",IF(AND(W$5=1,COUNTIFS(LvStaff,$A30,LvFrom,"&lt;="&amp;W$3,LvTo,"&gt;="&amp;W$3,LvStat,'الإعدادات'!$Q$8)&gt;0),'الإعدادات'!$E$12,IF('خطة الورديات'!W22="","",'خطة الورديات'!W22)))</f>
        <v/>
      </c>
      <c r="X30" s="33">
        <f>IF(OR(X$3="",$A30=""),"",IF(AND(X$5=1,COUNTIFS(LvStaff,$A30,LvFrom,"&lt;="&amp;X$3,LvTo,"&gt;="&amp;X$3,LvStat,'الإعدادات'!$Q$8)&gt;0),'الإعدادات'!$E$12,IF('خطة الورديات'!X22="","",'خطة الورديات'!X22)))</f>
        <v/>
      </c>
      <c r="Y30" s="33">
        <f>IF(OR(Y$3="",$A30=""),"",IF(AND(Y$5=1,COUNTIFS(LvStaff,$A30,LvFrom,"&lt;="&amp;Y$3,LvTo,"&gt;="&amp;Y$3,LvStat,'الإعدادات'!$Q$8)&gt;0),'الإعدادات'!$E$12,IF('خطة الورديات'!Y22="","",'خطة الورديات'!Y22)))</f>
        <v/>
      </c>
      <c r="Z30" s="33">
        <f>IF(OR(Z$3="",$A30=""),"",IF(AND(Z$5=1,COUNTIFS(LvStaff,$A30,LvFrom,"&lt;="&amp;Z$3,LvTo,"&gt;="&amp;Z$3,LvStat,'الإعدادات'!$Q$8)&gt;0),'الإعدادات'!$E$12,IF('خطة الورديات'!Z22="","",'خطة الورديات'!Z22)))</f>
        <v/>
      </c>
      <c r="AA30" s="33">
        <f>IF(OR(AA$3="",$A30=""),"",IF(AND(AA$5=1,COUNTIFS(LvStaff,$A30,LvFrom,"&lt;="&amp;AA$3,LvTo,"&gt;="&amp;AA$3,LvStat,'الإعدادات'!$Q$8)&gt;0),'الإعدادات'!$E$12,IF('خطة الورديات'!AA22="","",'خطة الورديات'!AA22)))</f>
        <v/>
      </c>
      <c r="AB30" s="33">
        <f>IF(OR(AB$3="",$A30=""),"",IF(AND(AB$5=1,COUNTIFS(LvStaff,$A30,LvFrom,"&lt;="&amp;AB$3,LvTo,"&gt;="&amp;AB$3,LvStat,'الإعدادات'!$Q$8)&gt;0),'الإعدادات'!$E$12,IF('خطة الورديات'!AB22="","",'خطة الورديات'!AB22)))</f>
        <v/>
      </c>
      <c r="AC30" s="33">
        <f>IF(OR(AC$3="",$A30=""),"",IF(AND(AC$5=1,COUNTIFS(LvStaff,$A30,LvFrom,"&lt;="&amp;AC$3,LvTo,"&gt;="&amp;AC$3,LvStat,'الإعدادات'!$Q$8)&gt;0),'الإعدادات'!$E$12,IF('خطة الورديات'!AC22="","",'خطة الورديات'!AC22)))</f>
        <v/>
      </c>
      <c r="AD30" s="33">
        <f>IF(OR(AD$3="",$A30=""),"",IF(AND(AD$5=1,COUNTIFS(LvStaff,$A30,LvFrom,"&lt;="&amp;AD$3,LvTo,"&gt;="&amp;AD$3,LvStat,'الإعدادات'!$Q$8)&gt;0),'الإعدادات'!$E$12,IF('خطة الورديات'!AD22="","",'خطة الورديات'!AD22)))</f>
        <v/>
      </c>
      <c r="AE30" s="33">
        <f>IF(OR(AE$3="",$A30=""),"",IF(AND(AE$5=1,COUNTIFS(LvStaff,$A30,LvFrom,"&lt;="&amp;AE$3,LvTo,"&gt;="&amp;AE$3,LvStat,'الإعدادات'!$Q$8)&gt;0),'الإعدادات'!$E$12,IF('خطة الورديات'!AE22="","",'خطة الورديات'!AE22)))</f>
        <v/>
      </c>
      <c r="AF30" s="33">
        <f>IF(OR(AF$3="",$A30=""),"",IF(AND(AF$5=1,COUNTIFS(LvStaff,$A30,LvFrom,"&lt;="&amp;AF$3,LvTo,"&gt;="&amp;AF$3,LvStat,'الإعدادات'!$Q$8)&gt;0),'الإعدادات'!$E$12,IF('خطة الورديات'!AF22="","",'خطة الورديات'!AF22)))</f>
        <v/>
      </c>
      <c r="AG30" s="33">
        <f>IF(OR(AG$3="",$A30=""),"",IF(AND(AG$5=1,COUNTIFS(LvStaff,$A30,LvFrom,"&lt;="&amp;AG$3,LvTo,"&gt;="&amp;AG$3,LvStat,'الإعدادات'!$Q$8)&gt;0),'الإعدادات'!$E$12,IF('خطة الورديات'!AG22="","",'خطة الورديات'!AG22)))</f>
        <v/>
      </c>
      <c r="AI30" s="28">
        <f>IF($A30="","",'الإعدادات'!$I$8*COUNTIFS($C30:$AG30,'الإعدادات'!$E$8,$C$6:$AG$6,1)+'الإعدادات'!$I$9*COUNTIFS($C30:$AG30,'الإعدادات'!$E$9,$C$6:$AG$6,1)+'الإعدادات'!$I$10*COUNTIFS($C30:$AG30,'الإعدادات'!$E$10,$C$6:$AG$6,1)+'الإعدادات'!$I$11*COUNTIFS($C30:$AG30,'الإعدادات'!$E$11,$C$6:$AG$6,1)+'الإعدادات'!$I$12*COUNTIFS($C30:$AG30,'الإعدادات'!$E$12,$C$6:$AG$6,1)+'الإعدادات'!$I$13*COUNTIFS($C30:$AG30,'الإعدادات'!$E$13,$C$6:$AG$6,1)+'الإعدادات'!$I$14*COUNTIFS($C30:$AG30,'الإعدادات'!$E$14,$C$6:$AG$6,1)+'الإعدادات'!$I$15*COUNTIFS($C30:$AG30,'الإعدادات'!$E$15,$C$6:$AG$6,1))</f>
        <v/>
      </c>
      <c r="AJ30" s="28">
        <f>IF($A30="","",'الإعدادات'!$I$8*COUNTIFS($C30:$AG30,'الإعدادات'!$E$8,$C$6:$AG$6,2)+'الإعدادات'!$I$9*COUNTIFS($C30:$AG30,'الإعدادات'!$E$9,$C$6:$AG$6,2)+'الإعدادات'!$I$10*COUNTIFS($C30:$AG30,'الإعدادات'!$E$10,$C$6:$AG$6,2)+'الإعدادات'!$I$11*COUNTIFS($C30:$AG30,'الإعدادات'!$E$11,$C$6:$AG$6,2)+'الإعدادات'!$I$12*COUNTIFS($C30:$AG30,'الإعدادات'!$E$12,$C$6:$AG$6,2)+'الإعدادات'!$I$13*COUNTIFS($C30:$AG30,'الإعدادات'!$E$13,$C$6:$AG$6,2)+'الإعدادات'!$I$14*COUNTIFS($C30:$AG30,'الإعدادات'!$E$14,$C$6:$AG$6,2)+'الإعدادات'!$I$15*COUNTIFS($C30:$AG30,'الإعدادات'!$E$15,$C$6:$AG$6,2))</f>
        <v/>
      </c>
      <c r="AK30" s="28">
        <f>IF($A30="","",'الإعدادات'!$I$8*COUNTIFS($C30:$AG30,'الإعدادات'!$E$8,$C$6:$AG$6,3)+'الإعدادات'!$I$9*COUNTIFS($C30:$AG30,'الإعدادات'!$E$9,$C$6:$AG$6,3)+'الإعدادات'!$I$10*COUNTIFS($C30:$AG30,'الإعدادات'!$E$10,$C$6:$AG$6,3)+'الإعدادات'!$I$11*COUNTIFS($C30:$AG30,'الإعدادات'!$E$11,$C$6:$AG$6,3)+'الإعدادات'!$I$12*COUNTIFS($C30:$AG30,'الإعدادات'!$E$12,$C$6:$AG$6,3)+'الإعدادات'!$I$13*COUNTIFS($C30:$AG30,'الإعدادات'!$E$13,$C$6:$AG$6,3)+'الإعدادات'!$I$14*COUNTIFS($C30:$AG30,'الإعدادات'!$E$14,$C$6:$AG$6,3)+'الإعدادات'!$I$15*COUNTIFS($C30:$AG30,'الإعدادات'!$E$15,$C$6:$AG$6,3))</f>
        <v/>
      </c>
      <c r="AL30" s="28">
        <f>IF($A30="","",'الإعدادات'!$I$8*COUNTIFS($C30:$AG30,'الإعدادات'!$E$8,$C$6:$AG$6,4)+'الإعدادات'!$I$9*COUNTIFS($C30:$AG30,'الإعدادات'!$E$9,$C$6:$AG$6,4)+'الإعدادات'!$I$10*COUNTIFS($C30:$AG30,'الإعدادات'!$E$10,$C$6:$AG$6,4)+'الإعدادات'!$I$11*COUNTIFS($C30:$AG30,'الإعدادات'!$E$11,$C$6:$AG$6,4)+'الإعدادات'!$I$12*COUNTIFS($C30:$AG30,'الإعدادات'!$E$12,$C$6:$AG$6,4)+'الإعدادات'!$I$13*COUNTIFS($C30:$AG30,'الإعدادات'!$E$13,$C$6:$AG$6,4)+'الإعدادات'!$I$14*COUNTIFS($C30:$AG30,'الإعدادات'!$E$14,$C$6:$AG$6,4)+'الإعدادات'!$I$15*COUNTIFS($C30:$AG30,'الإعدادات'!$E$15,$C$6:$AG$6,4))</f>
        <v/>
      </c>
      <c r="AM30" s="28">
        <f>IF($A30="","",'الإعدادات'!$I$8*COUNTIFS($C30:$AG30,'الإعدادات'!$E$8,$C$6:$AG$6,5)+'الإعدادات'!$I$9*COUNTIFS($C30:$AG30,'الإعدادات'!$E$9,$C$6:$AG$6,5)+'الإعدادات'!$I$10*COUNTIFS($C30:$AG30,'الإعدادات'!$E$10,$C$6:$AG$6,5)+'الإعدادات'!$I$11*COUNTIFS($C30:$AG30,'الإعدادات'!$E$11,$C$6:$AG$6,5)+'الإعدادات'!$I$12*COUNTIFS($C30:$AG30,'الإعدادات'!$E$12,$C$6:$AG$6,5)+'الإعدادات'!$I$13*COUNTIFS($C30:$AG30,'الإعدادات'!$E$13,$C$6:$AG$6,5)+'الإعدادات'!$I$14*COUNTIFS($C30:$AG30,'الإعدادات'!$E$14,$C$6:$AG$6,5)+'الإعدادات'!$I$15*COUNTIFS($C30:$AG30,'الإعدادات'!$E$15,$C$6:$AG$6,5))</f>
        <v/>
      </c>
      <c r="AN30" s="28">
        <f>IF($A30="","",'الإعدادات'!$I$8*COUNTIFS($C30:$AG30,'الإعدادات'!$E$8,$C$6:$AG$6,6)+'الإعدادات'!$I$9*COUNTIFS($C30:$AG30,'الإعدادات'!$E$9,$C$6:$AG$6,6)+'الإعدادات'!$I$10*COUNTIFS($C30:$AG30,'الإعدادات'!$E$10,$C$6:$AG$6,6)+'الإعدادات'!$I$11*COUNTIFS($C30:$AG30,'الإعدادات'!$E$11,$C$6:$AG$6,6)+'الإعدادات'!$I$12*COUNTIFS($C30:$AG30,'الإعدادات'!$E$12,$C$6:$AG$6,6)+'الإعدادات'!$I$13*COUNTIFS($C30:$AG30,'الإعدادات'!$E$13,$C$6:$AG$6,6)+'الإعدادات'!$I$14*COUNTIFS($C30:$AG30,'الإعدادات'!$E$14,$C$6:$AG$6,6)+'الإعدادات'!$I$15*COUNTIFS($C30:$AG30,'الإعدادات'!$E$15,$C$6:$AG$6,6))</f>
        <v/>
      </c>
      <c r="AO30" s="28">
        <f>IF($A30="","",IFERROR(INDEX(StaffLimit,MATCH($A30,Staff,0)),""))</f>
        <v/>
      </c>
      <c r="AP30" s="34">
        <f>IF($A30="","",SUM(AI30:AN30))</f>
        <v/>
      </c>
      <c r="AQ30" s="28">
        <f>IF($A30="","",COUNTIF($C30:$AG30,'الإعدادات'!$E$11))</f>
        <v/>
      </c>
      <c r="AR30" s="28">
        <f>IF($A30="","",COUNTIF($C30:$AG30,'الإعدادات'!$E$12))</f>
        <v/>
      </c>
    </row>
    <row r="31">
      <c r="A31" s="8">
        <f>IF('خطة الورديات'!A23="","",'خطة الورديات'!A23)</f>
        <v/>
      </c>
      <c r="B31" s="8">
        <f>IF(A31="","",IFERROR(INDEX(StaffRole,MATCH(A31,Staff,0)),""))</f>
        <v/>
      </c>
      <c r="C31" s="33">
        <f>IF(OR(C$3="",$A31=""),"",IF(AND(C$5=1,COUNTIFS(LvStaff,$A31,LvFrom,"&lt;="&amp;C$3,LvTo,"&gt;="&amp;C$3,LvStat,'الإعدادات'!$Q$8)&gt;0),'الإعدادات'!$E$12,IF('خطة الورديات'!C23="","",'خطة الورديات'!C23)))</f>
        <v/>
      </c>
      <c r="D31" s="33">
        <f>IF(OR(D$3="",$A31=""),"",IF(AND(D$5=1,COUNTIFS(LvStaff,$A31,LvFrom,"&lt;="&amp;D$3,LvTo,"&gt;="&amp;D$3,LvStat,'الإعدادات'!$Q$8)&gt;0),'الإعدادات'!$E$12,IF('خطة الورديات'!D23="","",'خطة الورديات'!D23)))</f>
        <v/>
      </c>
      <c r="E31" s="33">
        <f>IF(OR(E$3="",$A31=""),"",IF(AND(E$5=1,COUNTIFS(LvStaff,$A31,LvFrom,"&lt;="&amp;E$3,LvTo,"&gt;="&amp;E$3,LvStat,'الإعدادات'!$Q$8)&gt;0),'الإعدادات'!$E$12,IF('خطة الورديات'!E23="","",'خطة الورديات'!E23)))</f>
        <v/>
      </c>
      <c r="F31" s="33">
        <f>IF(OR(F$3="",$A31=""),"",IF(AND(F$5=1,COUNTIFS(LvStaff,$A31,LvFrom,"&lt;="&amp;F$3,LvTo,"&gt;="&amp;F$3,LvStat,'الإعدادات'!$Q$8)&gt;0),'الإعدادات'!$E$12,IF('خطة الورديات'!F23="","",'خطة الورديات'!F23)))</f>
        <v/>
      </c>
      <c r="G31" s="33">
        <f>IF(OR(G$3="",$A31=""),"",IF(AND(G$5=1,COUNTIFS(LvStaff,$A31,LvFrom,"&lt;="&amp;G$3,LvTo,"&gt;="&amp;G$3,LvStat,'الإعدادات'!$Q$8)&gt;0),'الإعدادات'!$E$12,IF('خطة الورديات'!G23="","",'خطة الورديات'!G23)))</f>
        <v/>
      </c>
      <c r="H31" s="33">
        <f>IF(OR(H$3="",$A31=""),"",IF(AND(H$5=1,COUNTIFS(LvStaff,$A31,LvFrom,"&lt;="&amp;H$3,LvTo,"&gt;="&amp;H$3,LvStat,'الإعدادات'!$Q$8)&gt;0),'الإعدادات'!$E$12,IF('خطة الورديات'!H23="","",'خطة الورديات'!H23)))</f>
        <v/>
      </c>
      <c r="I31" s="33">
        <f>IF(OR(I$3="",$A31=""),"",IF(AND(I$5=1,COUNTIFS(LvStaff,$A31,LvFrom,"&lt;="&amp;I$3,LvTo,"&gt;="&amp;I$3,LvStat,'الإعدادات'!$Q$8)&gt;0),'الإعدادات'!$E$12,IF('خطة الورديات'!I23="","",'خطة الورديات'!I23)))</f>
        <v/>
      </c>
      <c r="J31" s="33">
        <f>IF(OR(J$3="",$A31=""),"",IF(AND(J$5=1,COUNTIFS(LvStaff,$A31,LvFrom,"&lt;="&amp;J$3,LvTo,"&gt;="&amp;J$3,LvStat,'الإعدادات'!$Q$8)&gt;0),'الإعدادات'!$E$12,IF('خطة الورديات'!J23="","",'خطة الورديات'!J23)))</f>
        <v/>
      </c>
      <c r="K31" s="33">
        <f>IF(OR(K$3="",$A31=""),"",IF(AND(K$5=1,COUNTIFS(LvStaff,$A31,LvFrom,"&lt;="&amp;K$3,LvTo,"&gt;="&amp;K$3,LvStat,'الإعدادات'!$Q$8)&gt;0),'الإعدادات'!$E$12,IF('خطة الورديات'!K23="","",'خطة الورديات'!K23)))</f>
        <v/>
      </c>
      <c r="L31" s="33">
        <f>IF(OR(L$3="",$A31=""),"",IF(AND(L$5=1,COUNTIFS(LvStaff,$A31,LvFrom,"&lt;="&amp;L$3,LvTo,"&gt;="&amp;L$3,LvStat,'الإعدادات'!$Q$8)&gt;0),'الإعدادات'!$E$12,IF('خطة الورديات'!L23="","",'خطة الورديات'!L23)))</f>
        <v/>
      </c>
      <c r="M31" s="33">
        <f>IF(OR(M$3="",$A31=""),"",IF(AND(M$5=1,COUNTIFS(LvStaff,$A31,LvFrom,"&lt;="&amp;M$3,LvTo,"&gt;="&amp;M$3,LvStat,'الإعدادات'!$Q$8)&gt;0),'الإعدادات'!$E$12,IF('خطة الورديات'!M23="","",'خطة الورديات'!M23)))</f>
        <v/>
      </c>
      <c r="N31" s="33">
        <f>IF(OR(N$3="",$A31=""),"",IF(AND(N$5=1,COUNTIFS(LvStaff,$A31,LvFrom,"&lt;="&amp;N$3,LvTo,"&gt;="&amp;N$3,LvStat,'الإعدادات'!$Q$8)&gt;0),'الإعدادات'!$E$12,IF('خطة الورديات'!N23="","",'خطة الورديات'!N23)))</f>
        <v/>
      </c>
      <c r="O31" s="33">
        <f>IF(OR(O$3="",$A31=""),"",IF(AND(O$5=1,COUNTIFS(LvStaff,$A31,LvFrom,"&lt;="&amp;O$3,LvTo,"&gt;="&amp;O$3,LvStat,'الإعدادات'!$Q$8)&gt;0),'الإعدادات'!$E$12,IF('خطة الورديات'!O23="","",'خطة الورديات'!O23)))</f>
        <v/>
      </c>
      <c r="P31" s="33">
        <f>IF(OR(P$3="",$A31=""),"",IF(AND(P$5=1,COUNTIFS(LvStaff,$A31,LvFrom,"&lt;="&amp;P$3,LvTo,"&gt;="&amp;P$3,LvStat,'الإعدادات'!$Q$8)&gt;0),'الإعدادات'!$E$12,IF('خطة الورديات'!P23="","",'خطة الورديات'!P23)))</f>
        <v/>
      </c>
      <c r="Q31" s="33">
        <f>IF(OR(Q$3="",$A31=""),"",IF(AND(Q$5=1,COUNTIFS(LvStaff,$A31,LvFrom,"&lt;="&amp;Q$3,LvTo,"&gt;="&amp;Q$3,LvStat,'الإعدادات'!$Q$8)&gt;0),'الإعدادات'!$E$12,IF('خطة الورديات'!Q23="","",'خطة الورديات'!Q23)))</f>
        <v/>
      </c>
      <c r="R31" s="33">
        <f>IF(OR(R$3="",$A31=""),"",IF(AND(R$5=1,COUNTIFS(LvStaff,$A31,LvFrom,"&lt;="&amp;R$3,LvTo,"&gt;="&amp;R$3,LvStat,'الإعدادات'!$Q$8)&gt;0),'الإعدادات'!$E$12,IF('خطة الورديات'!R23="","",'خطة الورديات'!R23)))</f>
        <v/>
      </c>
      <c r="S31" s="33">
        <f>IF(OR(S$3="",$A31=""),"",IF(AND(S$5=1,COUNTIFS(LvStaff,$A31,LvFrom,"&lt;="&amp;S$3,LvTo,"&gt;="&amp;S$3,LvStat,'الإعدادات'!$Q$8)&gt;0),'الإعدادات'!$E$12,IF('خطة الورديات'!S23="","",'خطة الورديات'!S23)))</f>
        <v/>
      </c>
      <c r="T31" s="33">
        <f>IF(OR(T$3="",$A31=""),"",IF(AND(T$5=1,COUNTIFS(LvStaff,$A31,LvFrom,"&lt;="&amp;T$3,LvTo,"&gt;="&amp;T$3,LvStat,'الإعدادات'!$Q$8)&gt;0),'الإعدادات'!$E$12,IF('خطة الورديات'!T23="","",'خطة الورديات'!T23)))</f>
        <v/>
      </c>
      <c r="U31" s="33">
        <f>IF(OR(U$3="",$A31=""),"",IF(AND(U$5=1,COUNTIFS(LvStaff,$A31,LvFrom,"&lt;="&amp;U$3,LvTo,"&gt;="&amp;U$3,LvStat,'الإعدادات'!$Q$8)&gt;0),'الإعدادات'!$E$12,IF('خطة الورديات'!U23="","",'خطة الورديات'!U23)))</f>
        <v/>
      </c>
      <c r="V31" s="33">
        <f>IF(OR(V$3="",$A31=""),"",IF(AND(V$5=1,COUNTIFS(LvStaff,$A31,LvFrom,"&lt;="&amp;V$3,LvTo,"&gt;="&amp;V$3,LvStat,'الإعدادات'!$Q$8)&gt;0),'الإعدادات'!$E$12,IF('خطة الورديات'!V23="","",'خطة الورديات'!V23)))</f>
        <v/>
      </c>
      <c r="W31" s="33">
        <f>IF(OR(W$3="",$A31=""),"",IF(AND(W$5=1,COUNTIFS(LvStaff,$A31,LvFrom,"&lt;="&amp;W$3,LvTo,"&gt;="&amp;W$3,LvStat,'الإعدادات'!$Q$8)&gt;0),'الإعدادات'!$E$12,IF('خطة الورديات'!W23="","",'خطة الورديات'!W23)))</f>
        <v/>
      </c>
      <c r="X31" s="33">
        <f>IF(OR(X$3="",$A31=""),"",IF(AND(X$5=1,COUNTIFS(LvStaff,$A31,LvFrom,"&lt;="&amp;X$3,LvTo,"&gt;="&amp;X$3,LvStat,'الإعدادات'!$Q$8)&gt;0),'الإعدادات'!$E$12,IF('خطة الورديات'!X23="","",'خطة الورديات'!X23)))</f>
        <v/>
      </c>
      <c r="Y31" s="33">
        <f>IF(OR(Y$3="",$A31=""),"",IF(AND(Y$5=1,COUNTIFS(LvStaff,$A31,LvFrom,"&lt;="&amp;Y$3,LvTo,"&gt;="&amp;Y$3,LvStat,'الإعدادات'!$Q$8)&gt;0),'الإعدادات'!$E$12,IF('خطة الورديات'!Y23="","",'خطة الورديات'!Y23)))</f>
        <v/>
      </c>
      <c r="Z31" s="33">
        <f>IF(OR(Z$3="",$A31=""),"",IF(AND(Z$5=1,COUNTIFS(LvStaff,$A31,LvFrom,"&lt;="&amp;Z$3,LvTo,"&gt;="&amp;Z$3,LvStat,'الإعدادات'!$Q$8)&gt;0),'الإعدادات'!$E$12,IF('خطة الورديات'!Z23="","",'خطة الورديات'!Z23)))</f>
        <v/>
      </c>
      <c r="AA31" s="33">
        <f>IF(OR(AA$3="",$A31=""),"",IF(AND(AA$5=1,COUNTIFS(LvStaff,$A31,LvFrom,"&lt;="&amp;AA$3,LvTo,"&gt;="&amp;AA$3,LvStat,'الإعدادات'!$Q$8)&gt;0),'الإعدادات'!$E$12,IF('خطة الورديات'!AA23="","",'خطة الورديات'!AA23)))</f>
        <v/>
      </c>
      <c r="AB31" s="33">
        <f>IF(OR(AB$3="",$A31=""),"",IF(AND(AB$5=1,COUNTIFS(LvStaff,$A31,LvFrom,"&lt;="&amp;AB$3,LvTo,"&gt;="&amp;AB$3,LvStat,'الإعدادات'!$Q$8)&gt;0),'الإعدادات'!$E$12,IF('خطة الورديات'!AB23="","",'خطة الورديات'!AB23)))</f>
        <v/>
      </c>
      <c r="AC31" s="33">
        <f>IF(OR(AC$3="",$A31=""),"",IF(AND(AC$5=1,COUNTIFS(LvStaff,$A31,LvFrom,"&lt;="&amp;AC$3,LvTo,"&gt;="&amp;AC$3,LvStat,'الإعدادات'!$Q$8)&gt;0),'الإعدادات'!$E$12,IF('خطة الورديات'!AC23="","",'خطة الورديات'!AC23)))</f>
        <v/>
      </c>
      <c r="AD31" s="33">
        <f>IF(OR(AD$3="",$A31=""),"",IF(AND(AD$5=1,COUNTIFS(LvStaff,$A31,LvFrom,"&lt;="&amp;AD$3,LvTo,"&gt;="&amp;AD$3,LvStat,'الإعدادات'!$Q$8)&gt;0),'الإعدادات'!$E$12,IF('خطة الورديات'!AD23="","",'خطة الورديات'!AD23)))</f>
        <v/>
      </c>
      <c r="AE31" s="33">
        <f>IF(OR(AE$3="",$A31=""),"",IF(AND(AE$5=1,COUNTIFS(LvStaff,$A31,LvFrom,"&lt;="&amp;AE$3,LvTo,"&gt;="&amp;AE$3,LvStat,'الإعدادات'!$Q$8)&gt;0),'الإعدادات'!$E$12,IF('خطة الورديات'!AE23="","",'خطة الورديات'!AE23)))</f>
        <v/>
      </c>
      <c r="AF31" s="33">
        <f>IF(OR(AF$3="",$A31=""),"",IF(AND(AF$5=1,COUNTIFS(LvStaff,$A31,LvFrom,"&lt;="&amp;AF$3,LvTo,"&gt;="&amp;AF$3,LvStat,'الإعدادات'!$Q$8)&gt;0),'الإعدادات'!$E$12,IF('خطة الورديات'!AF23="","",'خطة الورديات'!AF23)))</f>
        <v/>
      </c>
      <c r="AG31" s="33">
        <f>IF(OR(AG$3="",$A31=""),"",IF(AND(AG$5=1,COUNTIFS(LvStaff,$A31,LvFrom,"&lt;="&amp;AG$3,LvTo,"&gt;="&amp;AG$3,LvStat,'الإعدادات'!$Q$8)&gt;0),'الإعدادات'!$E$12,IF('خطة الورديات'!AG23="","",'خطة الورديات'!AG23)))</f>
        <v/>
      </c>
      <c r="AI31" s="28">
        <f>IF($A31="","",'الإعدادات'!$I$8*COUNTIFS($C31:$AG31,'الإعدادات'!$E$8,$C$6:$AG$6,1)+'الإعدادات'!$I$9*COUNTIFS($C31:$AG31,'الإعدادات'!$E$9,$C$6:$AG$6,1)+'الإعدادات'!$I$10*COUNTIFS($C31:$AG31,'الإعدادات'!$E$10,$C$6:$AG$6,1)+'الإعدادات'!$I$11*COUNTIFS($C31:$AG31,'الإعدادات'!$E$11,$C$6:$AG$6,1)+'الإعدادات'!$I$12*COUNTIFS($C31:$AG31,'الإعدادات'!$E$12,$C$6:$AG$6,1)+'الإعدادات'!$I$13*COUNTIFS($C31:$AG31,'الإعدادات'!$E$13,$C$6:$AG$6,1)+'الإعدادات'!$I$14*COUNTIFS($C31:$AG31,'الإعدادات'!$E$14,$C$6:$AG$6,1)+'الإعدادات'!$I$15*COUNTIFS($C31:$AG31,'الإعدادات'!$E$15,$C$6:$AG$6,1))</f>
        <v/>
      </c>
      <c r="AJ31" s="28">
        <f>IF($A31="","",'الإعدادات'!$I$8*COUNTIFS($C31:$AG31,'الإعدادات'!$E$8,$C$6:$AG$6,2)+'الإعدادات'!$I$9*COUNTIFS($C31:$AG31,'الإعدادات'!$E$9,$C$6:$AG$6,2)+'الإعدادات'!$I$10*COUNTIFS($C31:$AG31,'الإعدادات'!$E$10,$C$6:$AG$6,2)+'الإعدادات'!$I$11*COUNTIFS($C31:$AG31,'الإعدادات'!$E$11,$C$6:$AG$6,2)+'الإعدادات'!$I$12*COUNTIFS($C31:$AG31,'الإعدادات'!$E$12,$C$6:$AG$6,2)+'الإعدادات'!$I$13*COUNTIFS($C31:$AG31,'الإعدادات'!$E$13,$C$6:$AG$6,2)+'الإعدادات'!$I$14*COUNTIFS($C31:$AG31,'الإعدادات'!$E$14,$C$6:$AG$6,2)+'الإعدادات'!$I$15*COUNTIFS($C31:$AG31,'الإعدادات'!$E$15,$C$6:$AG$6,2))</f>
        <v/>
      </c>
      <c r="AK31" s="28">
        <f>IF($A31="","",'الإعدادات'!$I$8*COUNTIFS($C31:$AG31,'الإعدادات'!$E$8,$C$6:$AG$6,3)+'الإعدادات'!$I$9*COUNTIFS($C31:$AG31,'الإعدادات'!$E$9,$C$6:$AG$6,3)+'الإعدادات'!$I$10*COUNTIFS($C31:$AG31,'الإعدادات'!$E$10,$C$6:$AG$6,3)+'الإعدادات'!$I$11*COUNTIFS($C31:$AG31,'الإعدادات'!$E$11,$C$6:$AG$6,3)+'الإعدادات'!$I$12*COUNTIFS($C31:$AG31,'الإعدادات'!$E$12,$C$6:$AG$6,3)+'الإعدادات'!$I$13*COUNTIFS($C31:$AG31,'الإعدادات'!$E$13,$C$6:$AG$6,3)+'الإعدادات'!$I$14*COUNTIFS($C31:$AG31,'الإعدادات'!$E$14,$C$6:$AG$6,3)+'الإعدادات'!$I$15*COUNTIFS($C31:$AG31,'الإعدادات'!$E$15,$C$6:$AG$6,3))</f>
        <v/>
      </c>
      <c r="AL31" s="28">
        <f>IF($A31="","",'الإعدادات'!$I$8*COUNTIFS($C31:$AG31,'الإعدادات'!$E$8,$C$6:$AG$6,4)+'الإعدادات'!$I$9*COUNTIFS($C31:$AG31,'الإعدادات'!$E$9,$C$6:$AG$6,4)+'الإعدادات'!$I$10*COUNTIFS($C31:$AG31,'الإعدادات'!$E$10,$C$6:$AG$6,4)+'الإعدادات'!$I$11*COUNTIFS($C31:$AG31,'الإعدادات'!$E$11,$C$6:$AG$6,4)+'الإعدادات'!$I$12*COUNTIFS($C31:$AG31,'الإعدادات'!$E$12,$C$6:$AG$6,4)+'الإعدادات'!$I$13*COUNTIFS($C31:$AG31,'الإعدادات'!$E$13,$C$6:$AG$6,4)+'الإعدادات'!$I$14*COUNTIFS($C31:$AG31,'الإعدادات'!$E$14,$C$6:$AG$6,4)+'الإعدادات'!$I$15*COUNTIFS($C31:$AG31,'الإعدادات'!$E$15,$C$6:$AG$6,4))</f>
        <v/>
      </c>
      <c r="AM31" s="28">
        <f>IF($A31="","",'الإعدادات'!$I$8*COUNTIFS($C31:$AG31,'الإعدادات'!$E$8,$C$6:$AG$6,5)+'الإعدادات'!$I$9*COUNTIFS($C31:$AG31,'الإعدادات'!$E$9,$C$6:$AG$6,5)+'الإعدادات'!$I$10*COUNTIFS($C31:$AG31,'الإعدادات'!$E$10,$C$6:$AG$6,5)+'الإعدادات'!$I$11*COUNTIFS($C31:$AG31,'الإعدادات'!$E$11,$C$6:$AG$6,5)+'الإعدادات'!$I$12*COUNTIFS($C31:$AG31,'الإعدادات'!$E$12,$C$6:$AG$6,5)+'الإعدادات'!$I$13*COUNTIFS($C31:$AG31,'الإعدادات'!$E$13,$C$6:$AG$6,5)+'الإعدادات'!$I$14*COUNTIFS($C31:$AG31,'الإعدادات'!$E$14,$C$6:$AG$6,5)+'الإعدادات'!$I$15*COUNTIFS($C31:$AG31,'الإعدادات'!$E$15,$C$6:$AG$6,5))</f>
        <v/>
      </c>
      <c r="AN31" s="28">
        <f>IF($A31="","",'الإعدادات'!$I$8*COUNTIFS($C31:$AG31,'الإعدادات'!$E$8,$C$6:$AG$6,6)+'الإعدادات'!$I$9*COUNTIFS($C31:$AG31,'الإعدادات'!$E$9,$C$6:$AG$6,6)+'الإعدادات'!$I$10*COUNTIFS($C31:$AG31,'الإعدادات'!$E$10,$C$6:$AG$6,6)+'الإعدادات'!$I$11*COUNTIFS($C31:$AG31,'الإعدادات'!$E$11,$C$6:$AG$6,6)+'الإعدادات'!$I$12*COUNTIFS($C31:$AG31,'الإعدادات'!$E$12,$C$6:$AG$6,6)+'الإعدادات'!$I$13*COUNTIFS($C31:$AG31,'الإعدادات'!$E$13,$C$6:$AG$6,6)+'الإعدادات'!$I$14*COUNTIFS($C31:$AG31,'الإعدادات'!$E$14,$C$6:$AG$6,6)+'الإعدادات'!$I$15*COUNTIFS($C31:$AG31,'الإعدادات'!$E$15,$C$6:$AG$6,6))</f>
        <v/>
      </c>
      <c r="AO31" s="28">
        <f>IF($A31="","",IFERROR(INDEX(StaffLimit,MATCH($A31,Staff,0)),""))</f>
        <v/>
      </c>
      <c r="AP31" s="34">
        <f>IF($A31="","",SUM(AI31:AN31))</f>
        <v/>
      </c>
      <c r="AQ31" s="28">
        <f>IF($A31="","",COUNTIF($C31:$AG31,'الإعدادات'!$E$11))</f>
        <v/>
      </c>
      <c r="AR31" s="28">
        <f>IF($A31="","",COUNTIF($C31:$AG31,'الإعدادات'!$E$12))</f>
        <v/>
      </c>
    </row>
    <row r="32">
      <c r="A32" s="8">
        <f>IF('خطة الورديات'!A24="","",'خطة الورديات'!A24)</f>
        <v/>
      </c>
      <c r="B32" s="8">
        <f>IF(A32="","",IFERROR(INDEX(StaffRole,MATCH(A32,Staff,0)),""))</f>
        <v/>
      </c>
      <c r="C32" s="33">
        <f>IF(OR(C$3="",$A32=""),"",IF(AND(C$5=1,COUNTIFS(LvStaff,$A32,LvFrom,"&lt;="&amp;C$3,LvTo,"&gt;="&amp;C$3,LvStat,'الإعدادات'!$Q$8)&gt;0),'الإعدادات'!$E$12,IF('خطة الورديات'!C24="","",'خطة الورديات'!C24)))</f>
        <v/>
      </c>
      <c r="D32" s="33">
        <f>IF(OR(D$3="",$A32=""),"",IF(AND(D$5=1,COUNTIFS(LvStaff,$A32,LvFrom,"&lt;="&amp;D$3,LvTo,"&gt;="&amp;D$3,LvStat,'الإعدادات'!$Q$8)&gt;0),'الإعدادات'!$E$12,IF('خطة الورديات'!D24="","",'خطة الورديات'!D24)))</f>
        <v/>
      </c>
      <c r="E32" s="33">
        <f>IF(OR(E$3="",$A32=""),"",IF(AND(E$5=1,COUNTIFS(LvStaff,$A32,LvFrom,"&lt;="&amp;E$3,LvTo,"&gt;="&amp;E$3,LvStat,'الإعدادات'!$Q$8)&gt;0),'الإعدادات'!$E$12,IF('خطة الورديات'!E24="","",'خطة الورديات'!E24)))</f>
        <v/>
      </c>
      <c r="F32" s="33">
        <f>IF(OR(F$3="",$A32=""),"",IF(AND(F$5=1,COUNTIFS(LvStaff,$A32,LvFrom,"&lt;="&amp;F$3,LvTo,"&gt;="&amp;F$3,LvStat,'الإعدادات'!$Q$8)&gt;0),'الإعدادات'!$E$12,IF('خطة الورديات'!F24="","",'خطة الورديات'!F24)))</f>
        <v/>
      </c>
      <c r="G32" s="33">
        <f>IF(OR(G$3="",$A32=""),"",IF(AND(G$5=1,COUNTIFS(LvStaff,$A32,LvFrom,"&lt;="&amp;G$3,LvTo,"&gt;="&amp;G$3,LvStat,'الإعدادات'!$Q$8)&gt;0),'الإعدادات'!$E$12,IF('خطة الورديات'!G24="","",'خطة الورديات'!G24)))</f>
        <v/>
      </c>
      <c r="H32" s="33">
        <f>IF(OR(H$3="",$A32=""),"",IF(AND(H$5=1,COUNTIFS(LvStaff,$A32,LvFrom,"&lt;="&amp;H$3,LvTo,"&gt;="&amp;H$3,LvStat,'الإعدادات'!$Q$8)&gt;0),'الإعدادات'!$E$12,IF('خطة الورديات'!H24="","",'خطة الورديات'!H24)))</f>
        <v/>
      </c>
      <c r="I32" s="33">
        <f>IF(OR(I$3="",$A32=""),"",IF(AND(I$5=1,COUNTIFS(LvStaff,$A32,LvFrom,"&lt;="&amp;I$3,LvTo,"&gt;="&amp;I$3,LvStat,'الإعدادات'!$Q$8)&gt;0),'الإعدادات'!$E$12,IF('خطة الورديات'!I24="","",'خطة الورديات'!I24)))</f>
        <v/>
      </c>
      <c r="J32" s="33">
        <f>IF(OR(J$3="",$A32=""),"",IF(AND(J$5=1,COUNTIFS(LvStaff,$A32,LvFrom,"&lt;="&amp;J$3,LvTo,"&gt;="&amp;J$3,LvStat,'الإعدادات'!$Q$8)&gt;0),'الإعدادات'!$E$12,IF('خطة الورديات'!J24="","",'خطة الورديات'!J24)))</f>
        <v/>
      </c>
      <c r="K32" s="33">
        <f>IF(OR(K$3="",$A32=""),"",IF(AND(K$5=1,COUNTIFS(LvStaff,$A32,LvFrom,"&lt;="&amp;K$3,LvTo,"&gt;="&amp;K$3,LvStat,'الإعدادات'!$Q$8)&gt;0),'الإعدادات'!$E$12,IF('خطة الورديات'!K24="","",'خطة الورديات'!K24)))</f>
        <v/>
      </c>
      <c r="L32" s="33">
        <f>IF(OR(L$3="",$A32=""),"",IF(AND(L$5=1,COUNTIFS(LvStaff,$A32,LvFrom,"&lt;="&amp;L$3,LvTo,"&gt;="&amp;L$3,LvStat,'الإعدادات'!$Q$8)&gt;0),'الإعدادات'!$E$12,IF('خطة الورديات'!L24="","",'خطة الورديات'!L24)))</f>
        <v/>
      </c>
      <c r="M32" s="33">
        <f>IF(OR(M$3="",$A32=""),"",IF(AND(M$5=1,COUNTIFS(LvStaff,$A32,LvFrom,"&lt;="&amp;M$3,LvTo,"&gt;="&amp;M$3,LvStat,'الإعدادات'!$Q$8)&gt;0),'الإعدادات'!$E$12,IF('خطة الورديات'!M24="","",'خطة الورديات'!M24)))</f>
        <v/>
      </c>
      <c r="N32" s="33">
        <f>IF(OR(N$3="",$A32=""),"",IF(AND(N$5=1,COUNTIFS(LvStaff,$A32,LvFrom,"&lt;="&amp;N$3,LvTo,"&gt;="&amp;N$3,LvStat,'الإعدادات'!$Q$8)&gt;0),'الإعدادات'!$E$12,IF('خطة الورديات'!N24="","",'خطة الورديات'!N24)))</f>
        <v/>
      </c>
      <c r="O32" s="33">
        <f>IF(OR(O$3="",$A32=""),"",IF(AND(O$5=1,COUNTIFS(LvStaff,$A32,LvFrom,"&lt;="&amp;O$3,LvTo,"&gt;="&amp;O$3,LvStat,'الإعدادات'!$Q$8)&gt;0),'الإعدادات'!$E$12,IF('خطة الورديات'!O24="","",'خطة الورديات'!O24)))</f>
        <v/>
      </c>
      <c r="P32" s="33">
        <f>IF(OR(P$3="",$A32=""),"",IF(AND(P$5=1,COUNTIFS(LvStaff,$A32,LvFrom,"&lt;="&amp;P$3,LvTo,"&gt;="&amp;P$3,LvStat,'الإعدادات'!$Q$8)&gt;0),'الإعدادات'!$E$12,IF('خطة الورديات'!P24="","",'خطة الورديات'!P24)))</f>
        <v/>
      </c>
      <c r="Q32" s="33">
        <f>IF(OR(Q$3="",$A32=""),"",IF(AND(Q$5=1,COUNTIFS(LvStaff,$A32,LvFrom,"&lt;="&amp;Q$3,LvTo,"&gt;="&amp;Q$3,LvStat,'الإعدادات'!$Q$8)&gt;0),'الإعدادات'!$E$12,IF('خطة الورديات'!Q24="","",'خطة الورديات'!Q24)))</f>
        <v/>
      </c>
      <c r="R32" s="33">
        <f>IF(OR(R$3="",$A32=""),"",IF(AND(R$5=1,COUNTIFS(LvStaff,$A32,LvFrom,"&lt;="&amp;R$3,LvTo,"&gt;="&amp;R$3,LvStat,'الإعدادات'!$Q$8)&gt;0),'الإعدادات'!$E$12,IF('خطة الورديات'!R24="","",'خطة الورديات'!R24)))</f>
        <v/>
      </c>
      <c r="S32" s="33">
        <f>IF(OR(S$3="",$A32=""),"",IF(AND(S$5=1,COUNTIFS(LvStaff,$A32,LvFrom,"&lt;="&amp;S$3,LvTo,"&gt;="&amp;S$3,LvStat,'الإعدادات'!$Q$8)&gt;0),'الإعدادات'!$E$12,IF('خطة الورديات'!S24="","",'خطة الورديات'!S24)))</f>
        <v/>
      </c>
      <c r="T32" s="33">
        <f>IF(OR(T$3="",$A32=""),"",IF(AND(T$5=1,COUNTIFS(LvStaff,$A32,LvFrom,"&lt;="&amp;T$3,LvTo,"&gt;="&amp;T$3,LvStat,'الإعدادات'!$Q$8)&gt;0),'الإعدادات'!$E$12,IF('خطة الورديات'!T24="","",'خطة الورديات'!T24)))</f>
        <v/>
      </c>
      <c r="U32" s="33">
        <f>IF(OR(U$3="",$A32=""),"",IF(AND(U$5=1,COUNTIFS(LvStaff,$A32,LvFrom,"&lt;="&amp;U$3,LvTo,"&gt;="&amp;U$3,LvStat,'الإعدادات'!$Q$8)&gt;0),'الإعدادات'!$E$12,IF('خطة الورديات'!U24="","",'خطة الورديات'!U24)))</f>
        <v/>
      </c>
      <c r="V32" s="33">
        <f>IF(OR(V$3="",$A32=""),"",IF(AND(V$5=1,COUNTIFS(LvStaff,$A32,LvFrom,"&lt;="&amp;V$3,LvTo,"&gt;="&amp;V$3,LvStat,'الإعدادات'!$Q$8)&gt;0),'الإعدادات'!$E$12,IF('خطة الورديات'!V24="","",'خطة الورديات'!V24)))</f>
        <v/>
      </c>
      <c r="W32" s="33">
        <f>IF(OR(W$3="",$A32=""),"",IF(AND(W$5=1,COUNTIFS(LvStaff,$A32,LvFrom,"&lt;="&amp;W$3,LvTo,"&gt;="&amp;W$3,LvStat,'الإعدادات'!$Q$8)&gt;0),'الإعدادات'!$E$12,IF('خطة الورديات'!W24="","",'خطة الورديات'!W24)))</f>
        <v/>
      </c>
      <c r="X32" s="33">
        <f>IF(OR(X$3="",$A32=""),"",IF(AND(X$5=1,COUNTIFS(LvStaff,$A32,LvFrom,"&lt;="&amp;X$3,LvTo,"&gt;="&amp;X$3,LvStat,'الإعدادات'!$Q$8)&gt;0),'الإعدادات'!$E$12,IF('خطة الورديات'!X24="","",'خطة الورديات'!X24)))</f>
        <v/>
      </c>
      <c r="Y32" s="33">
        <f>IF(OR(Y$3="",$A32=""),"",IF(AND(Y$5=1,COUNTIFS(LvStaff,$A32,LvFrom,"&lt;="&amp;Y$3,LvTo,"&gt;="&amp;Y$3,LvStat,'الإعدادات'!$Q$8)&gt;0),'الإعدادات'!$E$12,IF('خطة الورديات'!Y24="","",'خطة الورديات'!Y24)))</f>
        <v/>
      </c>
      <c r="Z32" s="33">
        <f>IF(OR(Z$3="",$A32=""),"",IF(AND(Z$5=1,COUNTIFS(LvStaff,$A32,LvFrom,"&lt;="&amp;Z$3,LvTo,"&gt;="&amp;Z$3,LvStat,'الإعدادات'!$Q$8)&gt;0),'الإعدادات'!$E$12,IF('خطة الورديات'!Z24="","",'خطة الورديات'!Z24)))</f>
        <v/>
      </c>
      <c r="AA32" s="33">
        <f>IF(OR(AA$3="",$A32=""),"",IF(AND(AA$5=1,COUNTIFS(LvStaff,$A32,LvFrom,"&lt;="&amp;AA$3,LvTo,"&gt;="&amp;AA$3,LvStat,'الإعدادات'!$Q$8)&gt;0),'الإعدادات'!$E$12,IF('خطة الورديات'!AA24="","",'خطة الورديات'!AA24)))</f>
        <v/>
      </c>
      <c r="AB32" s="33">
        <f>IF(OR(AB$3="",$A32=""),"",IF(AND(AB$5=1,COUNTIFS(LvStaff,$A32,LvFrom,"&lt;="&amp;AB$3,LvTo,"&gt;="&amp;AB$3,LvStat,'الإعدادات'!$Q$8)&gt;0),'الإعدادات'!$E$12,IF('خطة الورديات'!AB24="","",'خطة الورديات'!AB24)))</f>
        <v/>
      </c>
      <c r="AC32" s="33">
        <f>IF(OR(AC$3="",$A32=""),"",IF(AND(AC$5=1,COUNTIFS(LvStaff,$A32,LvFrom,"&lt;="&amp;AC$3,LvTo,"&gt;="&amp;AC$3,LvStat,'الإعدادات'!$Q$8)&gt;0),'الإعدادات'!$E$12,IF('خطة الورديات'!AC24="","",'خطة الورديات'!AC24)))</f>
        <v/>
      </c>
      <c r="AD32" s="33">
        <f>IF(OR(AD$3="",$A32=""),"",IF(AND(AD$5=1,COUNTIFS(LvStaff,$A32,LvFrom,"&lt;="&amp;AD$3,LvTo,"&gt;="&amp;AD$3,LvStat,'الإعدادات'!$Q$8)&gt;0),'الإعدادات'!$E$12,IF('خطة الورديات'!AD24="","",'خطة الورديات'!AD24)))</f>
        <v/>
      </c>
      <c r="AE32" s="33">
        <f>IF(OR(AE$3="",$A32=""),"",IF(AND(AE$5=1,COUNTIFS(LvStaff,$A32,LvFrom,"&lt;="&amp;AE$3,LvTo,"&gt;="&amp;AE$3,LvStat,'الإعدادات'!$Q$8)&gt;0),'الإعدادات'!$E$12,IF('خطة الورديات'!AE24="","",'خطة الورديات'!AE24)))</f>
        <v/>
      </c>
      <c r="AF32" s="33">
        <f>IF(OR(AF$3="",$A32=""),"",IF(AND(AF$5=1,COUNTIFS(LvStaff,$A32,LvFrom,"&lt;="&amp;AF$3,LvTo,"&gt;="&amp;AF$3,LvStat,'الإعدادات'!$Q$8)&gt;0),'الإعدادات'!$E$12,IF('خطة الورديات'!AF24="","",'خطة الورديات'!AF24)))</f>
        <v/>
      </c>
      <c r="AG32" s="33">
        <f>IF(OR(AG$3="",$A32=""),"",IF(AND(AG$5=1,COUNTIFS(LvStaff,$A32,LvFrom,"&lt;="&amp;AG$3,LvTo,"&gt;="&amp;AG$3,LvStat,'الإعدادات'!$Q$8)&gt;0),'الإعدادات'!$E$12,IF('خطة الورديات'!AG24="","",'خطة الورديات'!AG24)))</f>
        <v/>
      </c>
      <c r="AI32" s="28">
        <f>IF($A32="","",'الإعدادات'!$I$8*COUNTIFS($C32:$AG32,'الإعدادات'!$E$8,$C$6:$AG$6,1)+'الإعدادات'!$I$9*COUNTIFS($C32:$AG32,'الإعدادات'!$E$9,$C$6:$AG$6,1)+'الإعدادات'!$I$10*COUNTIFS($C32:$AG32,'الإعدادات'!$E$10,$C$6:$AG$6,1)+'الإعدادات'!$I$11*COUNTIFS($C32:$AG32,'الإعدادات'!$E$11,$C$6:$AG$6,1)+'الإعدادات'!$I$12*COUNTIFS($C32:$AG32,'الإعدادات'!$E$12,$C$6:$AG$6,1)+'الإعدادات'!$I$13*COUNTIFS($C32:$AG32,'الإعدادات'!$E$13,$C$6:$AG$6,1)+'الإعدادات'!$I$14*COUNTIFS($C32:$AG32,'الإعدادات'!$E$14,$C$6:$AG$6,1)+'الإعدادات'!$I$15*COUNTIFS($C32:$AG32,'الإعدادات'!$E$15,$C$6:$AG$6,1))</f>
        <v/>
      </c>
      <c r="AJ32" s="28">
        <f>IF($A32="","",'الإعدادات'!$I$8*COUNTIFS($C32:$AG32,'الإعدادات'!$E$8,$C$6:$AG$6,2)+'الإعدادات'!$I$9*COUNTIFS($C32:$AG32,'الإعدادات'!$E$9,$C$6:$AG$6,2)+'الإعدادات'!$I$10*COUNTIFS($C32:$AG32,'الإعدادات'!$E$10,$C$6:$AG$6,2)+'الإعدادات'!$I$11*COUNTIFS($C32:$AG32,'الإعدادات'!$E$11,$C$6:$AG$6,2)+'الإعدادات'!$I$12*COUNTIFS($C32:$AG32,'الإعدادات'!$E$12,$C$6:$AG$6,2)+'الإعدادات'!$I$13*COUNTIFS($C32:$AG32,'الإعدادات'!$E$13,$C$6:$AG$6,2)+'الإعدادات'!$I$14*COUNTIFS($C32:$AG32,'الإعدادات'!$E$14,$C$6:$AG$6,2)+'الإعدادات'!$I$15*COUNTIFS($C32:$AG32,'الإعدادات'!$E$15,$C$6:$AG$6,2))</f>
        <v/>
      </c>
      <c r="AK32" s="28">
        <f>IF($A32="","",'الإعدادات'!$I$8*COUNTIFS($C32:$AG32,'الإعدادات'!$E$8,$C$6:$AG$6,3)+'الإعدادات'!$I$9*COUNTIFS($C32:$AG32,'الإعدادات'!$E$9,$C$6:$AG$6,3)+'الإعدادات'!$I$10*COUNTIFS($C32:$AG32,'الإعدادات'!$E$10,$C$6:$AG$6,3)+'الإعدادات'!$I$11*COUNTIFS($C32:$AG32,'الإعدادات'!$E$11,$C$6:$AG$6,3)+'الإعدادات'!$I$12*COUNTIFS($C32:$AG32,'الإعدادات'!$E$12,$C$6:$AG$6,3)+'الإعدادات'!$I$13*COUNTIFS($C32:$AG32,'الإعدادات'!$E$13,$C$6:$AG$6,3)+'الإعدادات'!$I$14*COUNTIFS($C32:$AG32,'الإعدادات'!$E$14,$C$6:$AG$6,3)+'الإعدادات'!$I$15*COUNTIFS($C32:$AG32,'الإعدادات'!$E$15,$C$6:$AG$6,3))</f>
        <v/>
      </c>
      <c r="AL32" s="28">
        <f>IF($A32="","",'الإعدادات'!$I$8*COUNTIFS($C32:$AG32,'الإعدادات'!$E$8,$C$6:$AG$6,4)+'الإعدادات'!$I$9*COUNTIFS($C32:$AG32,'الإعدادات'!$E$9,$C$6:$AG$6,4)+'الإعدادات'!$I$10*COUNTIFS($C32:$AG32,'الإعدادات'!$E$10,$C$6:$AG$6,4)+'الإعدادات'!$I$11*COUNTIFS($C32:$AG32,'الإعدادات'!$E$11,$C$6:$AG$6,4)+'الإعدادات'!$I$12*COUNTIFS($C32:$AG32,'الإعدادات'!$E$12,$C$6:$AG$6,4)+'الإعدادات'!$I$13*COUNTIFS($C32:$AG32,'الإعدادات'!$E$13,$C$6:$AG$6,4)+'الإعدادات'!$I$14*COUNTIFS($C32:$AG32,'الإعدادات'!$E$14,$C$6:$AG$6,4)+'الإعدادات'!$I$15*COUNTIFS($C32:$AG32,'الإعدادات'!$E$15,$C$6:$AG$6,4))</f>
        <v/>
      </c>
      <c r="AM32" s="28">
        <f>IF($A32="","",'الإعدادات'!$I$8*COUNTIFS($C32:$AG32,'الإعدادات'!$E$8,$C$6:$AG$6,5)+'الإعدادات'!$I$9*COUNTIFS($C32:$AG32,'الإعدادات'!$E$9,$C$6:$AG$6,5)+'الإعدادات'!$I$10*COUNTIFS($C32:$AG32,'الإعدادات'!$E$10,$C$6:$AG$6,5)+'الإعدادات'!$I$11*COUNTIFS($C32:$AG32,'الإعدادات'!$E$11,$C$6:$AG$6,5)+'الإعدادات'!$I$12*COUNTIFS($C32:$AG32,'الإعدادات'!$E$12,$C$6:$AG$6,5)+'الإعدادات'!$I$13*COUNTIFS($C32:$AG32,'الإعدادات'!$E$13,$C$6:$AG$6,5)+'الإعدادات'!$I$14*COUNTIFS($C32:$AG32,'الإعدادات'!$E$14,$C$6:$AG$6,5)+'الإعدادات'!$I$15*COUNTIFS($C32:$AG32,'الإعدادات'!$E$15,$C$6:$AG$6,5))</f>
        <v/>
      </c>
      <c r="AN32" s="28">
        <f>IF($A32="","",'الإعدادات'!$I$8*COUNTIFS($C32:$AG32,'الإعدادات'!$E$8,$C$6:$AG$6,6)+'الإعدادات'!$I$9*COUNTIFS($C32:$AG32,'الإعدادات'!$E$9,$C$6:$AG$6,6)+'الإعدادات'!$I$10*COUNTIFS($C32:$AG32,'الإعدادات'!$E$10,$C$6:$AG$6,6)+'الإعدادات'!$I$11*COUNTIFS($C32:$AG32,'الإعدادات'!$E$11,$C$6:$AG$6,6)+'الإعدادات'!$I$12*COUNTIFS($C32:$AG32,'الإعدادات'!$E$12,$C$6:$AG$6,6)+'الإعدادات'!$I$13*COUNTIFS($C32:$AG32,'الإعدادات'!$E$13,$C$6:$AG$6,6)+'الإعدادات'!$I$14*COUNTIFS($C32:$AG32,'الإعدادات'!$E$14,$C$6:$AG$6,6)+'الإعدادات'!$I$15*COUNTIFS($C32:$AG32,'الإعدادات'!$E$15,$C$6:$AG$6,6))</f>
        <v/>
      </c>
      <c r="AO32" s="28">
        <f>IF($A32="","",IFERROR(INDEX(StaffLimit,MATCH($A32,Staff,0)),""))</f>
        <v/>
      </c>
      <c r="AP32" s="34">
        <f>IF($A32="","",SUM(AI32:AN32))</f>
        <v/>
      </c>
      <c r="AQ32" s="28">
        <f>IF($A32="","",COUNTIF($C32:$AG32,'الإعدادات'!$E$11))</f>
        <v/>
      </c>
      <c r="AR32" s="28">
        <f>IF($A32="","",COUNTIF($C32:$AG32,'الإعدادات'!$E$12))</f>
        <v/>
      </c>
    </row>
    <row r="33">
      <c r="A33" s="8">
        <f>IF('خطة الورديات'!A25="","",'خطة الورديات'!A25)</f>
        <v/>
      </c>
      <c r="B33" s="8">
        <f>IF(A33="","",IFERROR(INDEX(StaffRole,MATCH(A33,Staff,0)),""))</f>
        <v/>
      </c>
      <c r="C33" s="33">
        <f>IF(OR(C$3="",$A33=""),"",IF(AND(C$5=1,COUNTIFS(LvStaff,$A33,LvFrom,"&lt;="&amp;C$3,LvTo,"&gt;="&amp;C$3,LvStat,'الإعدادات'!$Q$8)&gt;0),'الإعدادات'!$E$12,IF('خطة الورديات'!C25="","",'خطة الورديات'!C25)))</f>
        <v/>
      </c>
      <c r="D33" s="33">
        <f>IF(OR(D$3="",$A33=""),"",IF(AND(D$5=1,COUNTIFS(LvStaff,$A33,LvFrom,"&lt;="&amp;D$3,LvTo,"&gt;="&amp;D$3,LvStat,'الإعدادات'!$Q$8)&gt;0),'الإعدادات'!$E$12,IF('خطة الورديات'!D25="","",'خطة الورديات'!D25)))</f>
        <v/>
      </c>
      <c r="E33" s="33">
        <f>IF(OR(E$3="",$A33=""),"",IF(AND(E$5=1,COUNTIFS(LvStaff,$A33,LvFrom,"&lt;="&amp;E$3,LvTo,"&gt;="&amp;E$3,LvStat,'الإعدادات'!$Q$8)&gt;0),'الإعدادات'!$E$12,IF('خطة الورديات'!E25="","",'خطة الورديات'!E25)))</f>
        <v/>
      </c>
      <c r="F33" s="33">
        <f>IF(OR(F$3="",$A33=""),"",IF(AND(F$5=1,COUNTIFS(LvStaff,$A33,LvFrom,"&lt;="&amp;F$3,LvTo,"&gt;="&amp;F$3,LvStat,'الإعدادات'!$Q$8)&gt;0),'الإعدادات'!$E$12,IF('خطة الورديات'!F25="","",'خطة الورديات'!F25)))</f>
        <v/>
      </c>
      <c r="G33" s="33">
        <f>IF(OR(G$3="",$A33=""),"",IF(AND(G$5=1,COUNTIFS(LvStaff,$A33,LvFrom,"&lt;="&amp;G$3,LvTo,"&gt;="&amp;G$3,LvStat,'الإعدادات'!$Q$8)&gt;0),'الإعدادات'!$E$12,IF('خطة الورديات'!G25="","",'خطة الورديات'!G25)))</f>
        <v/>
      </c>
      <c r="H33" s="33">
        <f>IF(OR(H$3="",$A33=""),"",IF(AND(H$5=1,COUNTIFS(LvStaff,$A33,LvFrom,"&lt;="&amp;H$3,LvTo,"&gt;="&amp;H$3,LvStat,'الإعدادات'!$Q$8)&gt;0),'الإعدادات'!$E$12,IF('خطة الورديات'!H25="","",'خطة الورديات'!H25)))</f>
        <v/>
      </c>
      <c r="I33" s="33">
        <f>IF(OR(I$3="",$A33=""),"",IF(AND(I$5=1,COUNTIFS(LvStaff,$A33,LvFrom,"&lt;="&amp;I$3,LvTo,"&gt;="&amp;I$3,LvStat,'الإعدادات'!$Q$8)&gt;0),'الإعدادات'!$E$12,IF('خطة الورديات'!I25="","",'خطة الورديات'!I25)))</f>
        <v/>
      </c>
      <c r="J33" s="33">
        <f>IF(OR(J$3="",$A33=""),"",IF(AND(J$5=1,COUNTIFS(LvStaff,$A33,LvFrom,"&lt;="&amp;J$3,LvTo,"&gt;="&amp;J$3,LvStat,'الإعدادات'!$Q$8)&gt;0),'الإعدادات'!$E$12,IF('خطة الورديات'!J25="","",'خطة الورديات'!J25)))</f>
        <v/>
      </c>
      <c r="K33" s="33">
        <f>IF(OR(K$3="",$A33=""),"",IF(AND(K$5=1,COUNTIFS(LvStaff,$A33,LvFrom,"&lt;="&amp;K$3,LvTo,"&gt;="&amp;K$3,LvStat,'الإعدادات'!$Q$8)&gt;0),'الإعدادات'!$E$12,IF('خطة الورديات'!K25="","",'خطة الورديات'!K25)))</f>
        <v/>
      </c>
      <c r="L33" s="33">
        <f>IF(OR(L$3="",$A33=""),"",IF(AND(L$5=1,COUNTIFS(LvStaff,$A33,LvFrom,"&lt;="&amp;L$3,LvTo,"&gt;="&amp;L$3,LvStat,'الإعدادات'!$Q$8)&gt;0),'الإعدادات'!$E$12,IF('خطة الورديات'!L25="","",'خطة الورديات'!L25)))</f>
        <v/>
      </c>
      <c r="M33" s="33">
        <f>IF(OR(M$3="",$A33=""),"",IF(AND(M$5=1,COUNTIFS(LvStaff,$A33,LvFrom,"&lt;="&amp;M$3,LvTo,"&gt;="&amp;M$3,LvStat,'الإعدادات'!$Q$8)&gt;0),'الإعدادات'!$E$12,IF('خطة الورديات'!M25="","",'خطة الورديات'!M25)))</f>
        <v/>
      </c>
      <c r="N33" s="33">
        <f>IF(OR(N$3="",$A33=""),"",IF(AND(N$5=1,COUNTIFS(LvStaff,$A33,LvFrom,"&lt;="&amp;N$3,LvTo,"&gt;="&amp;N$3,LvStat,'الإعدادات'!$Q$8)&gt;0),'الإعدادات'!$E$12,IF('خطة الورديات'!N25="","",'خطة الورديات'!N25)))</f>
        <v/>
      </c>
      <c r="O33" s="33">
        <f>IF(OR(O$3="",$A33=""),"",IF(AND(O$5=1,COUNTIFS(LvStaff,$A33,LvFrom,"&lt;="&amp;O$3,LvTo,"&gt;="&amp;O$3,LvStat,'الإعدادات'!$Q$8)&gt;0),'الإعدادات'!$E$12,IF('خطة الورديات'!O25="","",'خطة الورديات'!O25)))</f>
        <v/>
      </c>
      <c r="P33" s="33">
        <f>IF(OR(P$3="",$A33=""),"",IF(AND(P$5=1,COUNTIFS(LvStaff,$A33,LvFrom,"&lt;="&amp;P$3,LvTo,"&gt;="&amp;P$3,LvStat,'الإعدادات'!$Q$8)&gt;0),'الإعدادات'!$E$12,IF('خطة الورديات'!P25="","",'خطة الورديات'!P25)))</f>
        <v/>
      </c>
      <c r="Q33" s="33">
        <f>IF(OR(Q$3="",$A33=""),"",IF(AND(Q$5=1,COUNTIFS(LvStaff,$A33,LvFrom,"&lt;="&amp;Q$3,LvTo,"&gt;="&amp;Q$3,LvStat,'الإعدادات'!$Q$8)&gt;0),'الإعدادات'!$E$12,IF('خطة الورديات'!Q25="","",'خطة الورديات'!Q25)))</f>
        <v/>
      </c>
      <c r="R33" s="33">
        <f>IF(OR(R$3="",$A33=""),"",IF(AND(R$5=1,COUNTIFS(LvStaff,$A33,LvFrom,"&lt;="&amp;R$3,LvTo,"&gt;="&amp;R$3,LvStat,'الإعدادات'!$Q$8)&gt;0),'الإعدادات'!$E$12,IF('خطة الورديات'!R25="","",'خطة الورديات'!R25)))</f>
        <v/>
      </c>
      <c r="S33" s="33">
        <f>IF(OR(S$3="",$A33=""),"",IF(AND(S$5=1,COUNTIFS(LvStaff,$A33,LvFrom,"&lt;="&amp;S$3,LvTo,"&gt;="&amp;S$3,LvStat,'الإعدادات'!$Q$8)&gt;0),'الإعدادات'!$E$12,IF('خطة الورديات'!S25="","",'خطة الورديات'!S25)))</f>
        <v/>
      </c>
      <c r="T33" s="33">
        <f>IF(OR(T$3="",$A33=""),"",IF(AND(T$5=1,COUNTIFS(LvStaff,$A33,LvFrom,"&lt;="&amp;T$3,LvTo,"&gt;="&amp;T$3,LvStat,'الإعدادات'!$Q$8)&gt;0),'الإعدادات'!$E$12,IF('خطة الورديات'!T25="","",'خطة الورديات'!T25)))</f>
        <v/>
      </c>
      <c r="U33" s="33">
        <f>IF(OR(U$3="",$A33=""),"",IF(AND(U$5=1,COUNTIFS(LvStaff,$A33,LvFrom,"&lt;="&amp;U$3,LvTo,"&gt;="&amp;U$3,LvStat,'الإعدادات'!$Q$8)&gt;0),'الإعدادات'!$E$12,IF('خطة الورديات'!U25="","",'خطة الورديات'!U25)))</f>
        <v/>
      </c>
      <c r="V33" s="33">
        <f>IF(OR(V$3="",$A33=""),"",IF(AND(V$5=1,COUNTIFS(LvStaff,$A33,LvFrom,"&lt;="&amp;V$3,LvTo,"&gt;="&amp;V$3,LvStat,'الإعدادات'!$Q$8)&gt;0),'الإعدادات'!$E$12,IF('خطة الورديات'!V25="","",'خطة الورديات'!V25)))</f>
        <v/>
      </c>
      <c r="W33" s="33">
        <f>IF(OR(W$3="",$A33=""),"",IF(AND(W$5=1,COUNTIFS(LvStaff,$A33,LvFrom,"&lt;="&amp;W$3,LvTo,"&gt;="&amp;W$3,LvStat,'الإعدادات'!$Q$8)&gt;0),'الإعدادات'!$E$12,IF('خطة الورديات'!W25="","",'خطة الورديات'!W25)))</f>
        <v/>
      </c>
      <c r="X33" s="33">
        <f>IF(OR(X$3="",$A33=""),"",IF(AND(X$5=1,COUNTIFS(LvStaff,$A33,LvFrom,"&lt;="&amp;X$3,LvTo,"&gt;="&amp;X$3,LvStat,'الإعدادات'!$Q$8)&gt;0),'الإعدادات'!$E$12,IF('خطة الورديات'!X25="","",'خطة الورديات'!X25)))</f>
        <v/>
      </c>
      <c r="Y33" s="33">
        <f>IF(OR(Y$3="",$A33=""),"",IF(AND(Y$5=1,COUNTIFS(LvStaff,$A33,LvFrom,"&lt;="&amp;Y$3,LvTo,"&gt;="&amp;Y$3,LvStat,'الإعدادات'!$Q$8)&gt;0),'الإعدادات'!$E$12,IF('خطة الورديات'!Y25="","",'خطة الورديات'!Y25)))</f>
        <v/>
      </c>
      <c r="Z33" s="33">
        <f>IF(OR(Z$3="",$A33=""),"",IF(AND(Z$5=1,COUNTIFS(LvStaff,$A33,LvFrom,"&lt;="&amp;Z$3,LvTo,"&gt;="&amp;Z$3,LvStat,'الإعدادات'!$Q$8)&gt;0),'الإعدادات'!$E$12,IF('خطة الورديات'!Z25="","",'خطة الورديات'!Z25)))</f>
        <v/>
      </c>
      <c r="AA33" s="33">
        <f>IF(OR(AA$3="",$A33=""),"",IF(AND(AA$5=1,COUNTIFS(LvStaff,$A33,LvFrom,"&lt;="&amp;AA$3,LvTo,"&gt;="&amp;AA$3,LvStat,'الإعدادات'!$Q$8)&gt;0),'الإعدادات'!$E$12,IF('خطة الورديات'!AA25="","",'خطة الورديات'!AA25)))</f>
        <v/>
      </c>
      <c r="AB33" s="33">
        <f>IF(OR(AB$3="",$A33=""),"",IF(AND(AB$5=1,COUNTIFS(LvStaff,$A33,LvFrom,"&lt;="&amp;AB$3,LvTo,"&gt;="&amp;AB$3,LvStat,'الإعدادات'!$Q$8)&gt;0),'الإعدادات'!$E$12,IF('خطة الورديات'!AB25="","",'خطة الورديات'!AB25)))</f>
        <v/>
      </c>
      <c r="AC33" s="33">
        <f>IF(OR(AC$3="",$A33=""),"",IF(AND(AC$5=1,COUNTIFS(LvStaff,$A33,LvFrom,"&lt;="&amp;AC$3,LvTo,"&gt;="&amp;AC$3,LvStat,'الإعدادات'!$Q$8)&gt;0),'الإعدادات'!$E$12,IF('خطة الورديات'!AC25="","",'خطة الورديات'!AC25)))</f>
        <v/>
      </c>
      <c r="AD33" s="33">
        <f>IF(OR(AD$3="",$A33=""),"",IF(AND(AD$5=1,COUNTIFS(LvStaff,$A33,LvFrom,"&lt;="&amp;AD$3,LvTo,"&gt;="&amp;AD$3,LvStat,'الإعدادات'!$Q$8)&gt;0),'الإعدادات'!$E$12,IF('خطة الورديات'!AD25="","",'خطة الورديات'!AD25)))</f>
        <v/>
      </c>
      <c r="AE33" s="33">
        <f>IF(OR(AE$3="",$A33=""),"",IF(AND(AE$5=1,COUNTIFS(LvStaff,$A33,LvFrom,"&lt;="&amp;AE$3,LvTo,"&gt;="&amp;AE$3,LvStat,'الإعدادات'!$Q$8)&gt;0),'الإعدادات'!$E$12,IF('خطة الورديات'!AE25="","",'خطة الورديات'!AE25)))</f>
        <v/>
      </c>
      <c r="AF33" s="33">
        <f>IF(OR(AF$3="",$A33=""),"",IF(AND(AF$5=1,COUNTIFS(LvStaff,$A33,LvFrom,"&lt;="&amp;AF$3,LvTo,"&gt;="&amp;AF$3,LvStat,'الإعدادات'!$Q$8)&gt;0),'الإعدادات'!$E$12,IF('خطة الورديات'!AF25="","",'خطة الورديات'!AF25)))</f>
        <v/>
      </c>
      <c r="AG33" s="33">
        <f>IF(OR(AG$3="",$A33=""),"",IF(AND(AG$5=1,COUNTIFS(LvStaff,$A33,LvFrom,"&lt;="&amp;AG$3,LvTo,"&gt;="&amp;AG$3,LvStat,'الإعدادات'!$Q$8)&gt;0),'الإعدادات'!$E$12,IF('خطة الورديات'!AG25="","",'خطة الورديات'!AG25)))</f>
        <v/>
      </c>
      <c r="AI33" s="28">
        <f>IF($A33="","",'الإعدادات'!$I$8*COUNTIFS($C33:$AG33,'الإعدادات'!$E$8,$C$6:$AG$6,1)+'الإعدادات'!$I$9*COUNTIFS($C33:$AG33,'الإعدادات'!$E$9,$C$6:$AG$6,1)+'الإعدادات'!$I$10*COUNTIFS($C33:$AG33,'الإعدادات'!$E$10,$C$6:$AG$6,1)+'الإعدادات'!$I$11*COUNTIFS($C33:$AG33,'الإعدادات'!$E$11,$C$6:$AG$6,1)+'الإعدادات'!$I$12*COUNTIFS($C33:$AG33,'الإعدادات'!$E$12,$C$6:$AG$6,1)+'الإعدادات'!$I$13*COUNTIFS($C33:$AG33,'الإعدادات'!$E$13,$C$6:$AG$6,1)+'الإعدادات'!$I$14*COUNTIFS($C33:$AG33,'الإعدادات'!$E$14,$C$6:$AG$6,1)+'الإعدادات'!$I$15*COUNTIFS($C33:$AG33,'الإعدادات'!$E$15,$C$6:$AG$6,1))</f>
        <v/>
      </c>
      <c r="AJ33" s="28">
        <f>IF($A33="","",'الإعدادات'!$I$8*COUNTIFS($C33:$AG33,'الإعدادات'!$E$8,$C$6:$AG$6,2)+'الإعدادات'!$I$9*COUNTIFS($C33:$AG33,'الإعدادات'!$E$9,$C$6:$AG$6,2)+'الإعدادات'!$I$10*COUNTIFS($C33:$AG33,'الإعدادات'!$E$10,$C$6:$AG$6,2)+'الإعدادات'!$I$11*COUNTIFS($C33:$AG33,'الإعدادات'!$E$11,$C$6:$AG$6,2)+'الإعدادات'!$I$12*COUNTIFS($C33:$AG33,'الإعدادات'!$E$12,$C$6:$AG$6,2)+'الإعدادات'!$I$13*COUNTIFS($C33:$AG33,'الإعدادات'!$E$13,$C$6:$AG$6,2)+'الإعدادات'!$I$14*COUNTIFS($C33:$AG33,'الإعدادات'!$E$14,$C$6:$AG$6,2)+'الإعدادات'!$I$15*COUNTIFS($C33:$AG33,'الإعدادات'!$E$15,$C$6:$AG$6,2))</f>
        <v/>
      </c>
      <c r="AK33" s="28">
        <f>IF($A33="","",'الإعدادات'!$I$8*COUNTIFS($C33:$AG33,'الإعدادات'!$E$8,$C$6:$AG$6,3)+'الإعدادات'!$I$9*COUNTIFS($C33:$AG33,'الإعدادات'!$E$9,$C$6:$AG$6,3)+'الإعدادات'!$I$10*COUNTIFS($C33:$AG33,'الإعدادات'!$E$10,$C$6:$AG$6,3)+'الإعدادات'!$I$11*COUNTIFS($C33:$AG33,'الإعدادات'!$E$11,$C$6:$AG$6,3)+'الإعدادات'!$I$12*COUNTIFS($C33:$AG33,'الإعدادات'!$E$12,$C$6:$AG$6,3)+'الإعدادات'!$I$13*COUNTIFS($C33:$AG33,'الإعدادات'!$E$13,$C$6:$AG$6,3)+'الإعدادات'!$I$14*COUNTIFS($C33:$AG33,'الإعدادات'!$E$14,$C$6:$AG$6,3)+'الإعدادات'!$I$15*COUNTIFS($C33:$AG33,'الإعدادات'!$E$15,$C$6:$AG$6,3))</f>
        <v/>
      </c>
      <c r="AL33" s="28">
        <f>IF($A33="","",'الإعدادات'!$I$8*COUNTIFS($C33:$AG33,'الإعدادات'!$E$8,$C$6:$AG$6,4)+'الإعدادات'!$I$9*COUNTIFS($C33:$AG33,'الإعدادات'!$E$9,$C$6:$AG$6,4)+'الإعدادات'!$I$10*COUNTIFS($C33:$AG33,'الإعدادات'!$E$10,$C$6:$AG$6,4)+'الإعدادات'!$I$11*COUNTIFS($C33:$AG33,'الإعدادات'!$E$11,$C$6:$AG$6,4)+'الإعدادات'!$I$12*COUNTIFS($C33:$AG33,'الإعدادات'!$E$12,$C$6:$AG$6,4)+'الإعدادات'!$I$13*COUNTIFS($C33:$AG33,'الإعدادات'!$E$13,$C$6:$AG$6,4)+'الإعدادات'!$I$14*COUNTIFS($C33:$AG33,'الإعدادات'!$E$14,$C$6:$AG$6,4)+'الإعدادات'!$I$15*COUNTIFS($C33:$AG33,'الإعدادات'!$E$15,$C$6:$AG$6,4))</f>
        <v/>
      </c>
      <c r="AM33" s="28">
        <f>IF($A33="","",'الإعدادات'!$I$8*COUNTIFS($C33:$AG33,'الإعدادات'!$E$8,$C$6:$AG$6,5)+'الإعدادات'!$I$9*COUNTIFS($C33:$AG33,'الإعدادات'!$E$9,$C$6:$AG$6,5)+'الإعدادات'!$I$10*COUNTIFS($C33:$AG33,'الإعدادات'!$E$10,$C$6:$AG$6,5)+'الإعدادات'!$I$11*COUNTIFS($C33:$AG33,'الإعدادات'!$E$11,$C$6:$AG$6,5)+'الإعدادات'!$I$12*COUNTIFS($C33:$AG33,'الإعدادات'!$E$12,$C$6:$AG$6,5)+'الإعدادات'!$I$13*COUNTIFS($C33:$AG33,'الإعدادات'!$E$13,$C$6:$AG$6,5)+'الإعدادات'!$I$14*COUNTIFS($C33:$AG33,'الإعدادات'!$E$14,$C$6:$AG$6,5)+'الإعدادات'!$I$15*COUNTIFS($C33:$AG33,'الإعدادات'!$E$15,$C$6:$AG$6,5))</f>
        <v/>
      </c>
      <c r="AN33" s="28">
        <f>IF($A33="","",'الإعدادات'!$I$8*COUNTIFS($C33:$AG33,'الإعدادات'!$E$8,$C$6:$AG$6,6)+'الإعدادات'!$I$9*COUNTIFS($C33:$AG33,'الإعدادات'!$E$9,$C$6:$AG$6,6)+'الإعدادات'!$I$10*COUNTIFS($C33:$AG33,'الإعدادات'!$E$10,$C$6:$AG$6,6)+'الإعدادات'!$I$11*COUNTIFS($C33:$AG33,'الإعدادات'!$E$11,$C$6:$AG$6,6)+'الإعدادات'!$I$12*COUNTIFS($C33:$AG33,'الإعدادات'!$E$12,$C$6:$AG$6,6)+'الإعدادات'!$I$13*COUNTIFS($C33:$AG33,'الإعدادات'!$E$13,$C$6:$AG$6,6)+'الإعدادات'!$I$14*COUNTIFS($C33:$AG33,'الإعدادات'!$E$14,$C$6:$AG$6,6)+'الإعدادات'!$I$15*COUNTIFS($C33:$AG33,'الإعدادات'!$E$15,$C$6:$AG$6,6))</f>
        <v/>
      </c>
      <c r="AO33" s="28">
        <f>IF($A33="","",IFERROR(INDEX(StaffLimit,MATCH($A33,Staff,0)),""))</f>
        <v/>
      </c>
      <c r="AP33" s="34">
        <f>IF($A33="","",SUM(AI33:AN33))</f>
        <v/>
      </c>
      <c r="AQ33" s="28">
        <f>IF($A33="","",COUNTIF($C33:$AG33,'الإعدادات'!$E$11))</f>
        <v/>
      </c>
      <c r="AR33" s="28">
        <f>IF($A33="","",COUNTIF($C33:$AG33,'الإعدادات'!$E$12))</f>
        <v/>
      </c>
    </row>
    <row r="34">
      <c r="A34" s="3" t="inlineStr">
        <is>
          <t>عدد الموجودين حسب الوردية والوظيفة</t>
        </is>
      </c>
      <c r="B34" s="11" t="n"/>
      <c r="AI34" s="7" t="inlineStr">
        <is>
          <t>الحد الأدنى</t>
        </is>
      </c>
    </row>
    <row r="35">
      <c r="A35" s="4" t="inlineStr">
        <is>
          <t>صباحي</t>
        </is>
      </c>
      <c r="B35" s="4" t="inlineStr">
        <is>
          <t>استقبال</t>
        </is>
      </c>
      <c r="C35" s="28">
        <f>IF(OR(C$3="",$A35="",$B35=""),"",COUNTIFS($B$26:$B$33,$B35,C$26:C$33,INDEX(ShiftCodes,MATCH($A35,ShiftNames,0)))+COUNTIFS($B$26:$B$33,$B35,C$26:C$33,'الإعدادات'!$E$10))</f>
        <v/>
      </c>
      <c r="D35" s="28">
        <f>IF(OR(D$3="",$A35="",$B35=""),"",COUNTIFS($B$26:$B$33,$B35,D$26:D$33,INDEX(ShiftCodes,MATCH($A35,ShiftNames,0)))+COUNTIFS($B$26:$B$33,$B35,D$26:D$33,'الإعدادات'!$E$10))</f>
        <v/>
      </c>
      <c r="E35" s="28">
        <f>IF(OR(E$3="",$A35="",$B35=""),"",COUNTIFS($B$26:$B$33,$B35,E$26:E$33,INDEX(ShiftCodes,MATCH($A35,ShiftNames,0)))+COUNTIFS($B$26:$B$33,$B35,E$26:E$33,'الإعدادات'!$E$10))</f>
        <v/>
      </c>
      <c r="F35" s="28">
        <f>IF(OR(F$3="",$A35="",$B35=""),"",COUNTIFS($B$26:$B$33,$B35,F$26:F$33,INDEX(ShiftCodes,MATCH($A35,ShiftNames,0)))+COUNTIFS($B$26:$B$33,$B35,F$26:F$33,'الإعدادات'!$E$10))</f>
        <v/>
      </c>
      <c r="G35" s="28">
        <f>IF(OR(G$3="",$A35="",$B35=""),"",COUNTIFS($B$26:$B$33,$B35,G$26:G$33,INDEX(ShiftCodes,MATCH($A35,ShiftNames,0)))+COUNTIFS($B$26:$B$33,$B35,G$26:G$33,'الإعدادات'!$E$10))</f>
        <v/>
      </c>
      <c r="H35" s="28">
        <f>IF(OR(H$3="",$A35="",$B35=""),"",COUNTIFS($B$26:$B$33,$B35,H$26:H$33,INDEX(ShiftCodes,MATCH($A35,ShiftNames,0)))+COUNTIFS($B$26:$B$33,$B35,H$26:H$33,'الإعدادات'!$E$10))</f>
        <v/>
      </c>
      <c r="I35" s="28">
        <f>IF(OR(I$3="",$A35="",$B35=""),"",COUNTIFS($B$26:$B$33,$B35,I$26:I$33,INDEX(ShiftCodes,MATCH($A35,ShiftNames,0)))+COUNTIFS($B$26:$B$33,$B35,I$26:I$33,'الإعدادات'!$E$10))</f>
        <v/>
      </c>
      <c r="J35" s="28">
        <f>IF(OR(J$3="",$A35="",$B35=""),"",COUNTIFS($B$26:$B$33,$B35,J$26:J$33,INDEX(ShiftCodes,MATCH($A35,ShiftNames,0)))+COUNTIFS($B$26:$B$33,$B35,J$26:J$33,'الإعدادات'!$E$10))</f>
        <v/>
      </c>
      <c r="K35" s="28">
        <f>IF(OR(K$3="",$A35="",$B35=""),"",COUNTIFS($B$26:$B$33,$B35,K$26:K$33,INDEX(ShiftCodes,MATCH($A35,ShiftNames,0)))+COUNTIFS($B$26:$B$33,$B35,K$26:K$33,'الإعدادات'!$E$10))</f>
        <v/>
      </c>
      <c r="L35" s="28">
        <f>IF(OR(L$3="",$A35="",$B35=""),"",COUNTIFS($B$26:$B$33,$B35,L$26:L$33,INDEX(ShiftCodes,MATCH($A35,ShiftNames,0)))+COUNTIFS($B$26:$B$33,$B35,L$26:L$33,'الإعدادات'!$E$10))</f>
        <v/>
      </c>
      <c r="M35" s="28">
        <f>IF(OR(M$3="",$A35="",$B35=""),"",COUNTIFS($B$26:$B$33,$B35,M$26:M$33,INDEX(ShiftCodes,MATCH($A35,ShiftNames,0)))+COUNTIFS($B$26:$B$33,$B35,M$26:M$33,'الإعدادات'!$E$10))</f>
        <v/>
      </c>
      <c r="N35" s="28">
        <f>IF(OR(N$3="",$A35="",$B35=""),"",COUNTIFS($B$26:$B$33,$B35,N$26:N$33,INDEX(ShiftCodes,MATCH($A35,ShiftNames,0)))+COUNTIFS($B$26:$B$33,$B35,N$26:N$33,'الإعدادات'!$E$10))</f>
        <v/>
      </c>
      <c r="O35" s="28">
        <f>IF(OR(O$3="",$A35="",$B35=""),"",COUNTIFS($B$26:$B$33,$B35,O$26:O$33,INDEX(ShiftCodes,MATCH($A35,ShiftNames,0)))+COUNTIFS($B$26:$B$33,$B35,O$26:O$33,'الإعدادات'!$E$10))</f>
        <v/>
      </c>
      <c r="P35" s="28">
        <f>IF(OR(P$3="",$A35="",$B35=""),"",COUNTIFS($B$26:$B$33,$B35,P$26:P$33,INDEX(ShiftCodes,MATCH($A35,ShiftNames,0)))+COUNTIFS($B$26:$B$33,$B35,P$26:P$33,'الإعدادات'!$E$10))</f>
        <v/>
      </c>
      <c r="Q35" s="28">
        <f>IF(OR(Q$3="",$A35="",$B35=""),"",COUNTIFS($B$26:$B$33,$B35,Q$26:Q$33,INDEX(ShiftCodes,MATCH($A35,ShiftNames,0)))+COUNTIFS($B$26:$B$33,$B35,Q$26:Q$33,'الإعدادات'!$E$10))</f>
        <v/>
      </c>
      <c r="R35" s="28">
        <f>IF(OR(R$3="",$A35="",$B35=""),"",COUNTIFS($B$26:$B$33,$B35,R$26:R$33,INDEX(ShiftCodes,MATCH($A35,ShiftNames,0)))+COUNTIFS($B$26:$B$33,$B35,R$26:R$33,'الإعدادات'!$E$10))</f>
        <v/>
      </c>
      <c r="S35" s="28">
        <f>IF(OR(S$3="",$A35="",$B35=""),"",COUNTIFS($B$26:$B$33,$B35,S$26:S$33,INDEX(ShiftCodes,MATCH($A35,ShiftNames,0)))+COUNTIFS($B$26:$B$33,$B35,S$26:S$33,'الإعدادات'!$E$10))</f>
        <v/>
      </c>
      <c r="T35" s="28">
        <f>IF(OR(T$3="",$A35="",$B35=""),"",COUNTIFS($B$26:$B$33,$B35,T$26:T$33,INDEX(ShiftCodes,MATCH($A35,ShiftNames,0)))+COUNTIFS($B$26:$B$33,$B35,T$26:T$33,'الإعدادات'!$E$10))</f>
        <v/>
      </c>
      <c r="U35" s="28">
        <f>IF(OR(U$3="",$A35="",$B35=""),"",COUNTIFS($B$26:$B$33,$B35,U$26:U$33,INDEX(ShiftCodes,MATCH($A35,ShiftNames,0)))+COUNTIFS($B$26:$B$33,$B35,U$26:U$33,'الإعدادات'!$E$10))</f>
        <v/>
      </c>
      <c r="V35" s="28">
        <f>IF(OR(V$3="",$A35="",$B35=""),"",COUNTIFS($B$26:$B$33,$B35,V$26:V$33,INDEX(ShiftCodes,MATCH($A35,ShiftNames,0)))+COUNTIFS($B$26:$B$33,$B35,V$26:V$33,'الإعدادات'!$E$10))</f>
        <v/>
      </c>
      <c r="W35" s="28">
        <f>IF(OR(W$3="",$A35="",$B35=""),"",COUNTIFS($B$26:$B$33,$B35,W$26:W$33,INDEX(ShiftCodes,MATCH($A35,ShiftNames,0)))+COUNTIFS($B$26:$B$33,$B35,W$26:W$33,'الإعدادات'!$E$10))</f>
        <v/>
      </c>
      <c r="X35" s="28">
        <f>IF(OR(X$3="",$A35="",$B35=""),"",COUNTIFS($B$26:$B$33,$B35,X$26:X$33,INDEX(ShiftCodes,MATCH($A35,ShiftNames,0)))+COUNTIFS($B$26:$B$33,$B35,X$26:X$33,'الإعدادات'!$E$10))</f>
        <v/>
      </c>
      <c r="Y35" s="28">
        <f>IF(OR(Y$3="",$A35="",$B35=""),"",COUNTIFS($B$26:$B$33,$B35,Y$26:Y$33,INDEX(ShiftCodes,MATCH($A35,ShiftNames,0)))+COUNTIFS($B$26:$B$33,$B35,Y$26:Y$33,'الإعدادات'!$E$10))</f>
        <v/>
      </c>
      <c r="Z35" s="28">
        <f>IF(OR(Z$3="",$A35="",$B35=""),"",COUNTIFS($B$26:$B$33,$B35,Z$26:Z$33,INDEX(ShiftCodes,MATCH($A35,ShiftNames,0)))+COUNTIFS($B$26:$B$33,$B35,Z$26:Z$33,'الإعدادات'!$E$10))</f>
        <v/>
      </c>
      <c r="AA35" s="28">
        <f>IF(OR(AA$3="",$A35="",$B35=""),"",COUNTIFS($B$26:$B$33,$B35,AA$26:AA$33,INDEX(ShiftCodes,MATCH($A35,ShiftNames,0)))+COUNTIFS($B$26:$B$33,$B35,AA$26:AA$33,'الإعدادات'!$E$10))</f>
        <v/>
      </c>
      <c r="AB35" s="28">
        <f>IF(OR(AB$3="",$A35="",$B35=""),"",COUNTIFS($B$26:$B$33,$B35,AB$26:AB$33,INDEX(ShiftCodes,MATCH($A35,ShiftNames,0)))+COUNTIFS($B$26:$B$33,$B35,AB$26:AB$33,'الإعدادات'!$E$10))</f>
        <v/>
      </c>
      <c r="AC35" s="28">
        <f>IF(OR(AC$3="",$A35="",$B35=""),"",COUNTIFS($B$26:$B$33,$B35,AC$26:AC$33,INDEX(ShiftCodes,MATCH($A35,ShiftNames,0)))+COUNTIFS($B$26:$B$33,$B35,AC$26:AC$33,'الإعدادات'!$E$10))</f>
        <v/>
      </c>
      <c r="AD35" s="28">
        <f>IF(OR(AD$3="",$A35="",$B35=""),"",COUNTIFS($B$26:$B$33,$B35,AD$26:AD$33,INDEX(ShiftCodes,MATCH($A35,ShiftNames,0)))+COUNTIFS($B$26:$B$33,$B35,AD$26:AD$33,'الإعدادات'!$E$10))</f>
        <v/>
      </c>
      <c r="AE35" s="28">
        <f>IF(OR(AE$3="",$A35="",$B35=""),"",COUNTIFS($B$26:$B$33,$B35,AE$26:AE$33,INDEX(ShiftCodes,MATCH($A35,ShiftNames,0)))+COUNTIFS($B$26:$B$33,$B35,AE$26:AE$33,'الإعدادات'!$E$10))</f>
        <v/>
      </c>
      <c r="AF35" s="28">
        <f>IF(OR(AF$3="",$A35="",$B35=""),"",COUNTIFS($B$26:$B$33,$B35,AF$26:AF$33,INDEX(ShiftCodes,MATCH($A35,ShiftNames,0)))+COUNTIFS($B$26:$B$33,$B35,AF$26:AF$33,'الإعدادات'!$E$10))</f>
        <v/>
      </c>
      <c r="AG35" s="28">
        <f>IF(OR(AG$3="",$A35="",$B35=""),"",COUNTIFS($B$26:$B$33,$B35,AG$26:AG$33,INDEX(ShiftCodes,MATCH($A35,ShiftNames,0)))+COUNTIFS($B$26:$B$33,$B35,AG$26:AG$33,'الإعدادات'!$E$10))</f>
        <v/>
      </c>
      <c r="AI35" s="28">
        <f>IF(OR($A35="",$B35=""),"",SUMIFS(MinCount,MinBranch,$A$25,MinShift,$A35,MinRole,$B35))</f>
        <v/>
      </c>
    </row>
    <row r="36">
      <c r="A36" s="4" t="inlineStr">
        <is>
          <t>مسائي</t>
        </is>
      </c>
      <c r="B36" s="4" t="inlineStr">
        <is>
          <t>استقبال</t>
        </is>
      </c>
      <c r="C36" s="28">
        <f>IF(OR(C$3="",$A36="",$B36=""),"",COUNTIFS($B$26:$B$33,$B36,C$26:C$33,INDEX(ShiftCodes,MATCH($A36,ShiftNames,0)))+COUNTIFS($B$26:$B$33,$B36,C$26:C$33,'الإعدادات'!$E$10))</f>
        <v/>
      </c>
      <c r="D36" s="28">
        <f>IF(OR(D$3="",$A36="",$B36=""),"",COUNTIFS($B$26:$B$33,$B36,D$26:D$33,INDEX(ShiftCodes,MATCH($A36,ShiftNames,0)))+COUNTIFS($B$26:$B$33,$B36,D$26:D$33,'الإعدادات'!$E$10))</f>
        <v/>
      </c>
      <c r="E36" s="28">
        <f>IF(OR(E$3="",$A36="",$B36=""),"",COUNTIFS($B$26:$B$33,$B36,E$26:E$33,INDEX(ShiftCodes,MATCH($A36,ShiftNames,0)))+COUNTIFS($B$26:$B$33,$B36,E$26:E$33,'الإعدادات'!$E$10))</f>
        <v/>
      </c>
      <c r="F36" s="28">
        <f>IF(OR(F$3="",$A36="",$B36=""),"",COUNTIFS($B$26:$B$33,$B36,F$26:F$33,INDEX(ShiftCodes,MATCH($A36,ShiftNames,0)))+COUNTIFS($B$26:$B$33,$B36,F$26:F$33,'الإعدادات'!$E$10))</f>
        <v/>
      </c>
      <c r="G36" s="28">
        <f>IF(OR(G$3="",$A36="",$B36=""),"",COUNTIFS($B$26:$B$33,$B36,G$26:G$33,INDEX(ShiftCodes,MATCH($A36,ShiftNames,0)))+COUNTIFS($B$26:$B$33,$B36,G$26:G$33,'الإعدادات'!$E$10))</f>
        <v/>
      </c>
      <c r="H36" s="28">
        <f>IF(OR(H$3="",$A36="",$B36=""),"",COUNTIFS($B$26:$B$33,$B36,H$26:H$33,INDEX(ShiftCodes,MATCH($A36,ShiftNames,0)))+COUNTIFS($B$26:$B$33,$B36,H$26:H$33,'الإعدادات'!$E$10))</f>
        <v/>
      </c>
      <c r="I36" s="28">
        <f>IF(OR(I$3="",$A36="",$B36=""),"",COUNTIFS($B$26:$B$33,$B36,I$26:I$33,INDEX(ShiftCodes,MATCH($A36,ShiftNames,0)))+COUNTIFS($B$26:$B$33,$B36,I$26:I$33,'الإعدادات'!$E$10))</f>
        <v/>
      </c>
      <c r="J36" s="28">
        <f>IF(OR(J$3="",$A36="",$B36=""),"",COUNTIFS($B$26:$B$33,$B36,J$26:J$33,INDEX(ShiftCodes,MATCH($A36,ShiftNames,0)))+COUNTIFS($B$26:$B$33,$B36,J$26:J$33,'الإعدادات'!$E$10))</f>
        <v/>
      </c>
      <c r="K36" s="28">
        <f>IF(OR(K$3="",$A36="",$B36=""),"",COUNTIFS($B$26:$B$33,$B36,K$26:K$33,INDEX(ShiftCodes,MATCH($A36,ShiftNames,0)))+COUNTIFS($B$26:$B$33,$B36,K$26:K$33,'الإعدادات'!$E$10))</f>
        <v/>
      </c>
      <c r="L36" s="28">
        <f>IF(OR(L$3="",$A36="",$B36=""),"",COUNTIFS($B$26:$B$33,$B36,L$26:L$33,INDEX(ShiftCodes,MATCH($A36,ShiftNames,0)))+COUNTIFS($B$26:$B$33,$B36,L$26:L$33,'الإعدادات'!$E$10))</f>
        <v/>
      </c>
      <c r="M36" s="28">
        <f>IF(OR(M$3="",$A36="",$B36=""),"",COUNTIFS($B$26:$B$33,$B36,M$26:M$33,INDEX(ShiftCodes,MATCH($A36,ShiftNames,0)))+COUNTIFS($B$26:$B$33,$B36,M$26:M$33,'الإعدادات'!$E$10))</f>
        <v/>
      </c>
      <c r="N36" s="28">
        <f>IF(OR(N$3="",$A36="",$B36=""),"",COUNTIFS($B$26:$B$33,$B36,N$26:N$33,INDEX(ShiftCodes,MATCH($A36,ShiftNames,0)))+COUNTIFS($B$26:$B$33,$B36,N$26:N$33,'الإعدادات'!$E$10))</f>
        <v/>
      </c>
      <c r="O36" s="28">
        <f>IF(OR(O$3="",$A36="",$B36=""),"",COUNTIFS($B$26:$B$33,$B36,O$26:O$33,INDEX(ShiftCodes,MATCH($A36,ShiftNames,0)))+COUNTIFS($B$26:$B$33,$B36,O$26:O$33,'الإعدادات'!$E$10))</f>
        <v/>
      </c>
      <c r="P36" s="28">
        <f>IF(OR(P$3="",$A36="",$B36=""),"",COUNTIFS($B$26:$B$33,$B36,P$26:P$33,INDEX(ShiftCodes,MATCH($A36,ShiftNames,0)))+COUNTIFS($B$26:$B$33,$B36,P$26:P$33,'الإعدادات'!$E$10))</f>
        <v/>
      </c>
      <c r="Q36" s="28">
        <f>IF(OR(Q$3="",$A36="",$B36=""),"",COUNTIFS($B$26:$B$33,$B36,Q$26:Q$33,INDEX(ShiftCodes,MATCH($A36,ShiftNames,0)))+COUNTIFS($B$26:$B$33,$B36,Q$26:Q$33,'الإعدادات'!$E$10))</f>
        <v/>
      </c>
      <c r="R36" s="28">
        <f>IF(OR(R$3="",$A36="",$B36=""),"",COUNTIFS($B$26:$B$33,$B36,R$26:R$33,INDEX(ShiftCodes,MATCH($A36,ShiftNames,0)))+COUNTIFS($B$26:$B$33,$B36,R$26:R$33,'الإعدادات'!$E$10))</f>
        <v/>
      </c>
      <c r="S36" s="28">
        <f>IF(OR(S$3="",$A36="",$B36=""),"",COUNTIFS($B$26:$B$33,$B36,S$26:S$33,INDEX(ShiftCodes,MATCH($A36,ShiftNames,0)))+COUNTIFS($B$26:$B$33,$B36,S$26:S$33,'الإعدادات'!$E$10))</f>
        <v/>
      </c>
      <c r="T36" s="28">
        <f>IF(OR(T$3="",$A36="",$B36=""),"",COUNTIFS($B$26:$B$33,$B36,T$26:T$33,INDEX(ShiftCodes,MATCH($A36,ShiftNames,0)))+COUNTIFS($B$26:$B$33,$B36,T$26:T$33,'الإعدادات'!$E$10))</f>
        <v/>
      </c>
      <c r="U36" s="28">
        <f>IF(OR(U$3="",$A36="",$B36=""),"",COUNTIFS($B$26:$B$33,$B36,U$26:U$33,INDEX(ShiftCodes,MATCH($A36,ShiftNames,0)))+COUNTIFS($B$26:$B$33,$B36,U$26:U$33,'الإعدادات'!$E$10))</f>
        <v/>
      </c>
      <c r="V36" s="28">
        <f>IF(OR(V$3="",$A36="",$B36=""),"",COUNTIFS($B$26:$B$33,$B36,V$26:V$33,INDEX(ShiftCodes,MATCH($A36,ShiftNames,0)))+COUNTIFS($B$26:$B$33,$B36,V$26:V$33,'الإعدادات'!$E$10))</f>
        <v/>
      </c>
      <c r="W36" s="28">
        <f>IF(OR(W$3="",$A36="",$B36=""),"",COUNTIFS($B$26:$B$33,$B36,W$26:W$33,INDEX(ShiftCodes,MATCH($A36,ShiftNames,0)))+COUNTIFS($B$26:$B$33,$B36,W$26:W$33,'الإعدادات'!$E$10))</f>
        <v/>
      </c>
      <c r="X36" s="28">
        <f>IF(OR(X$3="",$A36="",$B36=""),"",COUNTIFS($B$26:$B$33,$B36,X$26:X$33,INDEX(ShiftCodes,MATCH($A36,ShiftNames,0)))+COUNTIFS($B$26:$B$33,$B36,X$26:X$33,'الإعدادات'!$E$10))</f>
        <v/>
      </c>
      <c r="Y36" s="28">
        <f>IF(OR(Y$3="",$A36="",$B36=""),"",COUNTIFS($B$26:$B$33,$B36,Y$26:Y$33,INDEX(ShiftCodes,MATCH($A36,ShiftNames,0)))+COUNTIFS($B$26:$B$33,$B36,Y$26:Y$33,'الإعدادات'!$E$10))</f>
        <v/>
      </c>
      <c r="Z36" s="28">
        <f>IF(OR(Z$3="",$A36="",$B36=""),"",COUNTIFS($B$26:$B$33,$B36,Z$26:Z$33,INDEX(ShiftCodes,MATCH($A36,ShiftNames,0)))+COUNTIFS($B$26:$B$33,$B36,Z$26:Z$33,'الإعدادات'!$E$10))</f>
        <v/>
      </c>
      <c r="AA36" s="28">
        <f>IF(OR(AA$3="",$A36="",$B36=""),"",COUNTIFS($B$26:$B$33,$B36,AA$26:AA$33,INDEX(ShiftCodes,MATCH($A36,ShiftNames,0)))+COUNTIFS($B$26:$B$33,$B36,AA$26:AA$33,'الإعدادات'!$E$10))</f>
        <v/>
      </c>
      <c r="AB36" s="28">
        <f>IF(OR(AB$3="",$A36="",$B36=""),"",COUNTIFS($B$26:$B$33,$B36,AB$26:AB$33,INDEX(ShiftCodes,MATCH($A36,ShiftNames,0)))+COUNTIFS($B$26:$B$33,$B36,AB$26:AB$33,'الإعدادات'!$E$10))</f>
        <v/>
      </c>
      <c r="AC36" s="28">
        <f>IF(OR(AC$3="",$A36="",$B36=""),"",COUNTIFS($B$26:$B$33,$B36,AC$26:AC$33,INDEX(ShiftCodes,MATCH($A36,ShiftNames,0)))+COUNTIFS($B$26:$B$33,$B36,AC$26:AC$33,'الإعدادات'!$E$10))</f>
        <v/>
      </c>
      <c r="AD36" s="28">
        <f>IF(OR(AD$3="",$A36="",$B36=""),"",COUNTIFS($B$26:$B$33,$B36,AD$26:AD$33,INDEX(ShiftCodes,MATCH($A36,ShiftNames,0)))+COUNTIFS($B$26:$B$33,$B36,AD$26:AD$33,'الإعدادات'!$E$10))</f>
        <v/>
      </c>
      <c r="AE36" s="28">
        <f>IF(OR(AE$3="",$A36="",$B36=""),"",COUNTIFS($B$26:$B$33,$B36,AE$26:AE$33,INDEX(ShiftCodes,MATCH($A36,ShiftNames,0)))+COUNTIFS($B$26:$B$33,$B36,AE$26:AE$33,'الإعدادات'!$E$10))</f>
        <v/>
      </c>
      <c r="AF36" s="28">
        <f>IF(OR(AF$3="",$A36="",$B36=""),"",COUNTIFS($B$26:$B$33,$B36,AF$26:AF$33,INDEX(ShiftCodes,MATCH($A36,ShiftNames,0)))+COUNTIFS($B$26:$B$33,$B36,AF$26:AF$33,'الإعدادات'!$E$10))</f>
        <v/>
      </c>
      <c r="AG36" s="28">
        <f>IF(OR(AG$3="",$A36="",$B36=""),"",COUNTIFS($B$26:$B$33,$B36,AG$26:AG$33,INDEX(ShiftCodes,MATCH($A36,ShiftNames,0)))+COUNTIFS($B$26:$B$33,$B36,AG$26:AG$33,'الإعدادات'!$E$10))</f>
        <v/>
      </c>
      <c r="AI36" s="28">
        <f>IF(OR($A36="",$B36=""),"",SUMIFS(MinCount,MinBranch,$A$25,MinShift,$A36,MinRole,$B36))</f>
        <v/>
      </c>
    </row>
    <row r="37">
      <c r="A37" s="4" t="inlineStr">
        <is>
          <t>صباحي</t>
        </is>
      </c>
      <c r="B37" s="4" t="inlineStr">
        <is>
          <t>تمريض</t>
        </is>
      </c>
      <c r="C37" s="28">
        <f>IF(OR(C$3="",$A37="",$B37=""),"",COUNTIFS($B$26:$B$33,$B37,C$26:C$33,INDEX(ShiftCodes,MATCH($A37,ShiftNames,0)))+COUNTIFS($B$26:$B$33,$B37,C$26:C$33,'الإعدادات'!$E$10))</f>
        <v/>
      </c>
      <c r="D37" s="28">
        <f>IF(OR(D$3="",$A37="",$B37=""),"",COUNTIFS($B$26:$B$33,$B37,D$26:D$33,INDEX(ShiftCodes,MATCH($A37,ShiftNames,0)))+COUNTIFS($B$26:$B$33,$B37,D$26:D$33,'الإعدادات'!$E$10))</f>
        <v/>
      </c>
      <c r="E37" s="28">
        <f>IF(OR(E$3="",$A37="",$B37=""),"",COUNTIFS($B$26:$B$33,$B37,E$26:E$33,INDEX(ShiftCodes,MATCH($A37,ShiftNames,0)))+COUNTIFS($B$26:$B$33,$B37,E$26:E$33,'الإعدادات'!$E$10))</f>
        <v/>
      </c>
      <c r="F37" s="28">
        <f>IF(OR(F$3="",$A37="",$B37=""),"",COUNTIFS($B$26:$B$33,$B37,F$26:F$33,INDEX(ShiftCodes,MATCH($A37,ShiftNames,0)))+COUNTIFS($B$26:$B$33,$B37,F$26:F$33,'الإعدادات'!$E$10))</f>
        <v/>
      </c>
      <c r="G37" s="28">
        <f>IF(OR(G$3="",$A37="",$B37=""),"",COUNTIFS($B$26:$B$33,$B37,G$26:G$33,INDEX(ShiftCodes,MATCH($A37,ShiftNames,0)))+COUNTIFS($B$26:$B$33,$B37,G$26:G$33,'الإعدادات'!$E$10))</f>
        <v/>
      </c>
      <c r="H37" s="28">
        <f>IF(OR(H$3="",$A37="",$B37=""),"",COUNTIFS($B$26:$B$33,$B37,H$26:H$33,INDEX(ShiftCodes,MATCH($A37,ShiftNames,0)))+COUNTIFS($B$26:$B$33,$B37,H$26:H$33,'الإعدادات'!$E$10))</f>
        <v/>
      </c>
      <c r="I37" s="28">
        <f>IF(OR(I$3="",$A37="",$B37=""),"",COUNTIFS($B$26:$B$33,$B37,I$26:I$33,INDEX(ShiftCodes,MATCH($A37,ShiftNames,0)))+COUNTIFS($B$26:$B$33,$B37,I$26:I$33,'الإعدادات'!$E$10))</f>
        <v/>
      </c>
      <c r="J37" s="28">
        <f>IF(OR(J$3="",$A37="",$B37=""),"",COUNTIFS($B$26:$B$33,$B37,J$26:J$33,INDEX(ShiftCodes,MATCH($A37,ShiftNames,0)))+COUNTIFS($B$26:$B$33,$B37,J$26:J$33,'الإعدادات'!$E$10))</f>
        <v/>
      </c>
      <c r="K37" s="28">
        <f>IF(OR(K$3="",$A37="",$B37=""),"",COUNTIFS($B$26:$B$33,$B37,K$26:K$33,INDEX(ShiftCodes,MATCH($A37,ShiftNames,0)))+COUNTIFS($B$26:$B$33,$B37,K$26:K$33,'الإعدادات'!$E$10))</f>
        <v/>
      </c>
      <c r="L37" s="28">
        <f>IF(OR(L$3="",$A37="",$B37=""),"",COUNTIFS($B$26:$B$33,$B37,L$26:L$33,INDEX(ShiftCodes,MATCH($A37,ShiftNames,0)))+COUNTIFS($B$26:$B$33,$B37,L$26:L$33,'الإعدادات'!$E$10))</f>
        <v/>
      </c>
      <c r="M37" s="28">
        <f>IF(OR(M$3="",$A37="",$B37=""),"",COUNTIFS($B$26:$B$33,$B37,M$26:M$33,INDEX(ShiftCodes,MATCH($A37,ShiftNames,0)))+COUNTIFS($B$26:$B$33,$B37,M$26:M$33,'الإعدادات'!$E$10))</f>
        <v/>
      </c>
      <c r="N37" s="28">
        <f>IF(OR(N$3="",$A37="",$B37=""),"",COUNTIFS($B$26:$B$33,$B37,N$26:N$33,INDEX(ShiftCodes,MATCH($A37,ShiftNames,0)))+COUNTIFS($B$26:$B$33,$B37,N$26:N$33,'الإعدادات'!$E$10))</f>
        <v/>
      </c>
      <c r="O37" s="28">
        <f>IF(OR(O$3="",$A37="",$B37=""),"",COUNTIFS($B$26:$B$33,$B37,O$26:O$33,INDEX(ShiftCodes,MATCH($A37,ShiftNames,0)))+COUNTIFS($B$26:$B$33,$B37,O$26:O$33,'الإعدادات'!$E$10))</f>
        <v/>
      </c>
      <c r="P37" s="28">
        <f>IF(OR(P$3="",$A37="",$B37=""),"",COUNTIFS($B$26:$B$33,$B37,P$26:P$33,INDEX(ShiftCodes,MATCH($A37,ShiftNames,0)))+COUNTIFS($B$26:$B$33,$B37,P$26:P$33,'الإعدادات'!$E$10))</f>
        <v/>
      </c>
      <c r="Q37" s="28">
        <f>IF(OR(Q$3="",$A37="",$B37=""),"",COUNTIFS($B$26:$B$33,$B37,Q$26:Q$33,INDEX(ShiftCodes,MATCH($A37,ShiftNames,0)))+COUNTIFS($B$26:$B$33,$B37,Q$26:Q$33,'الإعدادات'!$E$10))</f>
        <v/>
      </c>
      <c r="R37" s="28">
        <f>IF(OR(R$3="",$A37="",$B37=""),"",COUNTIFS($B$26:$B$33,$B37,R$26:R$33,INDEX(ShiftCodes,MATCH($A37,ShiftNames,0)))+COUNTIFS($B$26:$B$33,$B37,R$26:R$33,'الإعدادات'!$E$10))</f>
        <v/>
      </c>
      <c r="S37" s="28">
        <f>IF(OR(S$3="",$A37="",$B37=""),"",COUNTIFS($B$26:$B$33,$B37,S$26:S$33,INDEX(ShiftCodes,MATCH($A37,ShiftNames,0)))+COUNTIFS($B$26:$B$33,$B37,S$26:S$33,'الإعدادات'!$E$10))</f>
        <v/>
      </c>
      <c r="T37" s="28">
        <f>IF(OR(T$3="",$A37="",$B37=""),"",COUNTIFS($B$26:$B$33,$B37,T$26:T$33,INDEX(ShiftCodes,MATCH($A37,ShiftNames,0)))+COUNTIFS($B$26:$B$33,$B37,T$26:T$33,'الإعدادات'!$E$10))</f>
        <v/>
      </c>
      <c r="U37" s="28">
        <f>IF(OR(U$3="",$A37="",$B37=""),"",COUNTIFS($B$26:$B$33,$B37,U$26:U$33,INDEX(ShiftCodes,MATCH($A37,ShiftNames,0)))+COUNTIFS($B$26:$B$33,$B37,U$26:U$33,'الإعدادات'!$E$10))</f>
        <v/>
      </c>
      <c r="V37" s="28">
        <f>IF(OR(V$3="",$A37="",$B37=""),"",COUNTIFS($B$26:$B$33,$B37,V$26:V$33,INDEX(ShiftCodes,MATCH($A37,ShiftNames,0)))+COUNTIFS($B$26:$B$33,$B37,V$26:V$33,'الإعدادات'!$E$10))</f>
        <v/>
      </c>
      <c r="W37" s="28">
        <f>IF(OR(W$3="",$A37="",$B37=""),"",COUNTIFS($B$26:$B$33,$B37,W$26:W$33,INDEX(ShiftCodes,MATCH($A37,ShiftNames,0)))+COUNTIFS($B$26:$B$33,$B37,W$26:W$33,'الإعدادات'!$E$10))</f>
        <v/>
      </c>
      <c r="X37" s="28">
        <f>IF(OR(X$3="",$A37="",$B37=""),"",COUNTIFS($B$26:$B$33,$B37,X$26:X$33,INDEX(ShiftCodes,MATCH($A37,ShiftNames,0)))+COUNTIFS($B$26:$B$33,$B37,X$26:X$33,'الإعدادات'!$E$10))</f>
        <v/>
      </c>
      <c r="Y37" s="28">
        <f>IF(OR(Y$3="",$A37="",$B37=""),"",COUNTIFS($B$26:$B$33,$B37,Y$26:Y$33,INDEX(ShiftCodes,MATCH($A37,ShiftNames,0)))+COUNTIFS($B$26:$B$33,$B37,Y$26:Y$33,'الإعدادات'!$E$10))</f>
        <v/>
      </c>
      <c r="Z37" s="28">
        <f>IF(OR(Z$3="",$A37="",$B37=""),"",COUNTIFS($B$26:$B$33,$B37,Z$26:Z$33,INDEX(ShiftCodes,MATCH($A37,ShiftNames,0)))+COUNTIFS($B$26:$B$33,$B37,Z$26:Z$33,'الإعدادات'!$E$10))</f>
        <v/>
      </c>
      <c r="AA37" s="28">
        <f>IF(OR(AA$3="",$A37="",$B37=""),"",COUNTIFS($B$26:$B$33,$B37,AA$26:AA$33,INDEX(ShiftCodes,MATCH($A37,ShiftNames,0)))+COUNTIFS($B$26:$B$33,$B37,AA$26:AA$33,'الإعدادات'!$E$10))</f>
        <v/>
      </c>
      <c r="AB37" s="28">
        <f>IF(OR(AB$3="",$A37="",$B37=""),"",COUNTIFS($B$26:$B$33,$B37,AB$26:AB$33,INDEX(ShiftCodes,MATCH($A37,ShiftNames,0)))+COUNTIFS($B$26:$B$33,$B37,AB$26:AB$33,'الإعدادات'!$E$10))</f>
        <v/>
      </c>
      <c r="AC37" s="28">
        <f>IF(OR(AC$3="",$A37="",$B37=""),"",COUNTIFS($B$26:$B$33,$B37,AC$26:AC$33,INDEX(ShiftCodes,MATCH($A37,ShiftNames,0)))+COUNTIFS($B$26:$B$33,$B37,AC$26:AC$33,'الإعدادات'!$E$10))</f>
        <v/>
      </c>
      <c r="AD37" s="28">
        <f>IF(OR(AD$3="",$A37="",$B37=""),"",COUNTIFS($B$26:$B$33,$B37,AD$26:AD$33,INDEX(ShiftCodes,MATCH($A37,ShiftNames,0)))+COUNTIFS($B$26:$B$33,$B37,AD$26:AD$33,'الإعدادات'!$E$10))</f>
        <v/>
      </c>
      <c r="AE37" s="28">
        <f>IF(OR(AE$3="",$A37="",$B37=""),"",COUNTIFS($B$26:$B$33,$B37,AE$26:AE$33,INDEX(ShiftCodes,MATCH($A37,ShiftNames,0)))+COUNTIFS($B$26:$B$33,$B37,AE$26:AE$33,'الإعدادات'!$E$10))</f>
        <v/>
      </c>
      <c r="AF37" s="28">
        <f>IF(OR(AF$3="",$A37="",$B37=""),"",COUNTIFS($B$26:$B$33,$B37,AF$26:AF$33,INDEX(ShiftCodes,MATCH($A37,ShiftNames,0)))+COUNTIFS($B$26:$B$33,$B37,AF$26:AF$33,'الإعدادات'!$E$10))</f>
        <v/>
      </c>
      <c r="AG37" s="28">
        <f>IF(OR(AG$3="",$A37="",$B37=""),"",COUNTIFS($B$26:$B$33,$B37,AG$26:AG$33,INDEX(ShiftCodes,MATCH($A37,ShiftNames,0)))+COUNTIFS($B$26:$B$33,$B37,AG$26:AG$33,'الإعدادات'!$E$10))</f>
        <v/>
      </c>
      <c r="AI37" s="28">
        <f>IF(OR($A37="",$B37=""),"",SUMIFS(MinCount,MinBranch,$A$25,MinShift,$A37,MinRole,$B37))</f>
        <v/>
      </c>
    </row>
    <row r="38">
      <c r="A38" s="4" t="inlineStr">
        <is>
          <t>مسائي</t>
        </is>
      </c>
      <c r="B38" s="4" t="inlineStr">
        <is>
          <t>تمريض</t>
        </is>
      </c>
      <c r="C38" s="28">
        <f>IF(OR(C$3="",$A38="",$B38=""),"",COUNTIFS($B$26:$B$33,$B38,C$26:C$33,INDEX(ShiftCodes,MATCH($A38,ShiftNames,0)))+COUNTIFS($B$26:$B$33,$B38,C$26:C$33,'الإعدادات'!$E$10))</f>
        <v/>
      </c>
      <c r="D38" s="28">
        <f>IF(OR(D$3="",$A38="",$B38=""),"",COUNTIFS($B$26:$B$33,$B38,D$26:D$33,INDEX(ShiftCodes,MATCH($A38,ShiftNames,0)))+COUNTIFS($B$26:$B$33,$B38,D$26:D$33,'الإعدادات'!$E$10))</f>
        <v/>
      </c>
      <c r="E38" s="28">
        <f>IF(OR(E$3="",$A38="",$B38=""),"",COUNTIFS($B$26:$B$33,$B38,E$26:E$33,INDEX(ShiftCodes,MATCH($A38,ShiftNames,0)))+COUNTIFS($B$26:$B$33,$B38,E$26:E$33,'الإعدادات'!$E$10))</f>
        <v/>
      </c>
      <c r="F38" s="28">
        <f>IF(OR(F$3="",$A38="",$B38=""),"",COUNTIFS($B$26:$B$33,$B38,F$26:F$33,INDEX(ShiftCodes,MATCH($A38,ShiftNames,0)))+COUNTIFS($B$26:$B$33,$B38,F$26:F$33,'الإعدادات'!$E$10))</f>
        <v/>
      </c>
      <c r="G38" s="28">
        <f>IF(OR(G$3="",$A38="",$B38=""),"",COUNTIFS($B$26:$B$33,$B38,G$26:G$33,INDEX(ShiftCodes,MATCH($A38,ShiftNames,0)))+COUNTIFS($B$26:$B$33,$B38,G$26:G$33,'الإعدادات'!$E$10))</f>
        <v/>
      </c>
      <c r="H38" s="28">
        <f>IF(OR(H$3="",$A38="",$B38=""),"",COUNTIFS($B$26:$B$33,$B38,H$26:H$33,INDEX(ShiftCodes,MATCH($A38,ShiftNames,0)))+COUNTIFS($B$26:$B$33,$B38,H$26:H$33,'الإعدادات'!$E$10))</f>
        <v/>
      </c>
      <c r="I38" s="28">
        <f>IF(OR(I$3="",$A38="",$B38=""),"",COUNTIFS($B$26:$B$33,$B38,I$26:I$33,INDEX(ShiftCodes,MATCH($A38,ShiftNames,0)))+COUNTIFS($B$26:$B$33,$B38,I$26:I$33,'الإعدادات'!$E$10))</f>
        <v/>
      </c>
      <c r="J38" s="28">
        <f>IF(OR(J$3="",$A38="",$B38=""),"",COUNTIFS($B$26:$B$33,$B38,J$26:J$33,INDEX(ShiftCodes,MATCH($A38,ShiftNames,0)))+COUNTIFS($B$26:$B$33,$B38,J$26:J$33,'الإعدادات'!$E$10))</f>
        <v/>
      </c>
      <c r="K38" s="28">
        <f>IF(OR(K$3="",$A38="",$B38=""),"",COUNTIFS($B$26:$B$33,$B38,K$26:K$33,INDEX(ShiftCodes,MATCH($A38,ShiftNames,0)))+COUNTIFS($B$26:$B$33,$B38,K$26:K$33,'الإعدادات'!$E$10))</f>
        <v/>
      </c>
      <c r="L38" s="28">
        <f>IF(OR(L$3="",$A38="",$B38=""),"",COUNTIFS($B$26:$B$33,$B38,L$26:L$33,INDEX(ShiftCodes,MATCH($A38,ShiftNames,0)))+COUNTIFS($B$26:$B$33,$B38,L$26:L$33,'الإعدادات'!$E$10))</f>
        <v/>
      </c>
      <c r="M38" s="28">
        <f>IF(OR(M$3="",$A38="",$B38=""),"",COUNTIFS($B$26:$B$33,$B38,M$26:M$33,INDEX(ShiftCodes,MATCH($A38,ShiftNames,0)))+COUNTIFS($B$26:$B$33,$B38,M$26:M$33,'الإعدادات'!$E$10))</f>
        <v/>
      </c>
      <c r="N38" s="28">
        <f>IF(OR(N$3="",$A38="",$B38=""),"",COUNTIFS($B$26:$B$33,$B38,N$26:N$33,INDEX(ShiftCodes,MATCH($A38,ShiftNames,0)))+COUNTIFS($B$26:$B$33,$B38,N$26:N$33,'الإعدادات'!$E$10))</f>
        <v/>
      </c>
      <c r="O38" s="28">
        <f>IF(OR(O$3="",$A38="",$B38=""),"",COUNTIFS($B$26:$B$33,$B38,O$26:O$33,INDEX(ShiftCodes,MATCH($A38,ShiftNames,0)))+COUNTIFS($B$26:$B$33,$B38,O$26:O$33,'الإعدادات'!$E$10))</f>
        <v/>
      </c>
      <c r="P38" s="28">
        <f>IF(OR(P$3="",$A38="",$B38=""),"",COUNTIFS($B$26:$B$33,$B38,P$26:P$33,INDEX(ShiftCodes,MATCH($A38,ShiftNames,0)))+COUNTIFS($B$26:$B$33,$B38,P$26:P$33,'الإعدادات'!$E$10))</f>
        <v/>
      </c>
      <c r="Q38" s="28">
        <f>IF(OR(Q$3="",$A38="",$B38=""),"",COUNTIFS($B$26:$B$33,$B38,Q$26:Q$33,INDEX(ShiftCodes,MATCH($A38,ShiftNames,0)))+COUNTIFS($B$26:$B$33,$B38,Q$26:Q$33,'الإعدادات'!$E$10))</f>
        <v/>
      </c>
      <c r="R38" s="28">
        <f>IF(OR(R$3="",$A38="",$B38=""),"",COUNTIFS($B$26:$B$33,$B38,R$26:R$33,INDEX(ShiftCodes,MATCH($A38,ShiftNames,0)))+COUNTIFS($B$26:$B$33,$B38,R$26:R$33,'الإعدادات'!$E$10))</f>
        <v/>
      </c>
      <c r="S38" s="28">
        <f>IF(OR(S$3="",$A38="",$B38=""),"",COUNTIFS($B$26:$B$33,$B38,S$26:S$33,INDEX(ShiftCodes,MATCH($A38,ShiftNames,0)))+COUNTIFS($B$26:$B$33,$B38,S$26:S$33,'الإعدادات'!$E$10))</f>
        <v/>
      </c>
      <c r="T38" s="28">
        <f>IF(OR(T$3="",$A38="",$B38=""),"",COUNTIFS($B$26:$B$33,$B38,T$26:T$33,INDEX(ShiftCodes,MATCH($A38,ShiftNames,0)))+COUNTIFS($B$26:$B$33,$B38,T$26:T$33,'الإعدادات'!$E$10))</f>
        <v/>
      </c>
      <c r="U38" s="28">
        <f>IF(OR(U$3="",$A38="",$B38=""),"",COUNTIFS($B$26:$B$33,$B38,U$26:U$33,INDEX(ShiftCodes,MATCH($A38,ShiftNames,0)))+COUNTIFS($B$26:$B$33,$B38,U$26:U$33,'الإعدادات'!$E$10))</f>
        <v/>
      </c>
      <c r="V38" s="28">
        <f>IF(OR(V$3="",$A38="",$B38=""),"",COUNTIFS($B$26:$B$33,$B38,V$26:V$33,INDEX(ShiftCodes,MATCH($A38,ShiftNames,0)))+COUNTIFS($B$26:$B$33,$B38,V$26:V$33,'الإعدادات'!$E$10))</f>
        <v/>
      </c>
      <c r="W38" s="28">
        <f>IF(OR(W$3="",$A38="",$B38=""),"",COUNTIFS($B$26:$B$33,$B38,W$26:W$33,INDEX(ShiftCodes,MATCH($A38,ShiftNames,0)))+COUNTIFS($B$26:$B$33,$B38,W$26:W$33,'الإعدادات'!$E$10))</f>
        <v/>
      </c>
      <c r="X38" s="28">
        <f>IF(OR(X$3="",$A38="",$B38=""),"",COUNTIFS($B$26:$B$33,$B38,X$26:X$33,INDEX(ShiftCodes,MATCH($A38,ShiftNames,0)))+COUNTIFS($B$26:$B$33,$B38,X$26:X$33,'الإعدادات'!$E$10))</f>
        <v/>
      </c>
      <c r="Y38" s="28">
        <f>IF(OR(Y$3="",$A38="",$B38=""),"",COUNTIFS($B$26:$B$33,$B38,Y$26:Y$33,INDEX(ShiftCodes,MATCH($A38,ShiftNames,0)))+COUNTIFS($B$26:$B$33,$B38,Y$26:Y$33,'الإعدادات'!$E$10))</f>
        <v/>
      </c>
      <c r="Z38" s="28">
        <f>IF(OR(Z$3="",$A38="",$B38=""),"",COUNTIFS($B$26:$B$33,$B38,Z$26:Z$33,INDEX(ShiftCodes,MATCH($A38,ShiftNames,0)))+COUNTIFS($B$26:$B$33,$B38,Z$26:Z$33,'الإعدادات'!$E$10))</f>
        <v/>
      </c>
      <c r="AA38" s="28">
        <f>IF(OR(AA$3="",$A38="",$B38=""),"",COUNTIFS($B$26:$B$33,$B38,AA$26:AA$33,INDEX(ShiftCodes,MATCH($A38,ShiftNames,0)))+COUNTIFS($B$26:$B$33,$B38,AA$26:AA$33,'الإعدادات'!$E$10))</f>
        <v/>
      </c>
      <c r="AB38" s="28">
        <f>IF(OR(AB$3="",$A38="",$B38=""),"",COUNTIFS($B$26:$B$33,$B38,AB$26:AB$33,INDEX(ShiftCodes,MATCH($A38,ShiftNames,0)))+COUNTIFS($B$26:$B$33,$B38,AB$26:AB$33,'الإعدادات'!$E$10))</f>
        <v/>
      </c>
      <c r="AC38" s="28">
        <f>IF(OR(AC$3="",$A38="",$B38=""),"",COUNTIFS($B$26:$B$33,$B38,AC$26:AC$33,INDEX(ShiftCodes,MATCH($A38,ShiftNames,0)))+COUNTIFS($B$26:$B$33,$B38,AC$26:AC$33,'الإعدادات'!$E$10))</f>
        <v/>
      </c>
      <c r="AD38" s="28">
        <f>IF(OR(AD$3="",$A38="",$B38=""),"",COUNTIFS($B$26:$B$33,$B38,AD$26:AD$33,INDEX(ShiftCodes,MATCH($A38,ShiftNames,0)))+COUNTIFS($B$26:$B$33,$B38,AD$26:AD$33,'الإعدادات'!$E$10))</f>
        <v/>
      </c>
      <c r="AE38" s="28">
        <f>IF(OR(AE$3="",$A38="",$B38=""),"",COUNTIFS($B$26:$B$33,$B38,AE$26:AE$33,INDEX(ShiftCodes,MATCH($A38,ShiftNames,0)))+COUNTIFS($B$26:$B$33,$B38,AE$26:AE$33,'الإعدادات'!$E$10))</f>
        <v/>
      </c>
      <c r="AF38" s="28">
        <f>IF(OR(AF$3="",$A38="",$B38=""),"",COUNTIFS($B$26:$B$33,$B38,AF$26:AF$33,INDEX(ShiftCodes,MATCH($A38,ShiftNames,0)))+COUNTIFS($B$26:$B$33,$B38,AF$26:AF$33,'الإعدادات'!$E$10))</f>
        <v/>
      </c>
      <c r="AG38" s="28">
        <f>IF(OR(AG$3="",$A38="",$B38=""),"",COUNTIFS($B$26:$B$33,$B38,AG$26:AG$33,INDEX(ShiftCodes,MATCH($A38,ShiftNames,0)))+COUNTIFS($B$26:$B$33,$B38,AG$26:AG$33,'الإعدادات'!$E$10))</f>
        <v/>
      </c>
      <c r="AI38" s="28">
        <f>IF(OR($A38="",$B38=""),"",SUMIFS(MinCount,MinBranch,$A$25,MinShift,$A38,MinRole,$B38))</f>
        <v/>
      </c>
    </row>
    <row r="39">
      <c r="A39" s="4" t="inlineStr">
        <is>
          <t>صباحي</t>
        </is>
      </c>
      <c r="B39" s="4" t="inlineStr">
        <is>
          <t>مساعد</t>
        </is>
      </c>
      <c r="C39" s="28">
        <f>IF(OR(C$3="",$A39="",$B39=""),"",COUNTIFS($B$26:$B$33,$B39,C$26:C$33,INDEX(ShiftCodes,MATCH($A39,ShiftNames,0)))+COUNTIFS($B$26:$B$33,$B39,C$26:C$33,'الإعدادات'!$E$10))</f>
        <v/>
      </c>
      <c r="D39" s="28">
        <f>IF(OR(D$3="",$A39="",$B39=""),"",COUNTIFS($B$26:$B$33,$B39,D$26:D$33,INDEX(ShiftCodes,MATCH($A39,ShiftNames,0)))+COUNTIFS($B$26:$B$33,$B39,D$26:D$33,'الإعدادات'!$E$10))</f>
        <v/>
      </c>
      <c r="E39" s="28">
        <f>IF(OR(E$3="",$A39="",$B39=""),"",COUNTIFS($B$26:$B$33,$B39,E$26:E$33,INDEX(ShiftCodes,MATCH($A39,ShiftNames,0)))+COUNTIFS($B$26:$B$33,$B39,E$26:E$33,'الإعدادات'!$E$10))</f>
        <v/>
      </c>
      <c r="F39" s="28">
        <f>IF(OR(F$3="",$A39="",$B39=""),"",COUNTIFS($B$26:$B$33,$B39,F$26:F$33,INDEX(ShiftCodes,MATCH($A39,ShiftNames,0)))+COUNTIFS($B$26:$B$33,$B39,F$26:F$33,'الإعدادات'!$E$10))</f>
        <v/>
      </c>
      <c r="G39" s="28">
        <f>IF(OR(G$3="",$A39="",$B39=""),"",COUNTIFS($B$26:$B$33,$B39,G$26:G$33,INDEX(ShiftCodes,MATCH($A39,ShiftNames,0)))+COUNTIFS($B$26:$B$33,$B39,G$26:G$33,'الإعدادات'!$E$10))</f>
        <v/>
      </c>
      <c r="H39" s="28">
        <f>IF(OR(H$3="",$A39="",$B39=""),"",COUNTIFS($B$26:$B$33,$B39,H$26:H$33,INDEX(ShiftCodes,MATCH($A39,ShiftNames,0)))+COUNTIFS($B$26:$B$33,$B39,H$26:H$33,'الإعدادات'!$E$10))</f>
        <v/>
      </c>
      <c r="I39" s="28">
        <f>IF(OR(I$3="",$A39="",$B39=""),"",COUNTIFS($B$26:$B$33,$B39,I$26:I$33,INDEX(ShiftCodes,MATCH($A39,ShiftNames,0)))+COUNTIFS($B$26:$B$33,$B39,I$26:I$33,'الإعدادات'!$E$10))</f>
        <v/>
      </c>
      <c r="J39" s="28">
        <f>IF(OR(J$3="",$A39="",$B39=""),"",COUNTIFS($B$26:$B$33,$B39,J$26:J$33,INDEX(ShiftCodes,MATCH($A39,ShiftNames,0)))+COUNTIFS($B$26:$B$33,$B39,J$26:J$33,'الإعدادات'!$E$10))</f>
        <v/>
      </c>
      <c r="K39" s="28">
        <f>IF(OR(K$3="",$A39="",$B39=""),"",COUNTIFS($B$26:$B$33,$B39,K$26:K$33,INDEX(ShiftCodes,MATCH($A39,ShiftNames,0)))+COUNTIFS($B$26:$B$33,$B39,K$26:K$33,'الإعدادات'!$E$10))</f>
        <v/>
      </c>
      <c r="L39" s="28">
        <f>IF(OR(L$3="",$A39="",$B39=""),"",COUNTIFS($B$26:$B$33,$B39,L$26:L$33,INDEX(ShiftCodes,MATCH($A39,ShiftNames,0)))+COUNTIFS($B$26:$B$33,$B39,L$26:L$33,'الإعدادات'!$E$10))</f>
        <v/>
      </c>
      <c r="M39" s="28">
        <f>IF(OR(M$3="",$A39="",$B39=""),"",COUNTIFS($B$26:$B$33,$B39,M$26:M$33,INDEX(ShiftCodes,MATCH($A39,ShiftNames,0)))+COUNTIFS($B$26:$B$33,$B39,M$26:M$33,'الإعدادات'!$E$10))</f>
        <v/>
      </c>
      <c r="N39" s="28">
        <f>IF(OR(N$3="",$A39="",$B39=""),"",COUNTIFS($B$26:$B$33,$B39,N$26:N$33,INDEX(ShiftCodes,MATCH($A39,ShiftNames,0)))+COUNTIFS($B$26:$B$33,$B39,N$26:N$33,'الإعدادات'!$E$10))</f>
        <v/>
      </c>
      <c r="O39" s="28">
        <f>IF(OR(O$3="",$A39="",$B39=""),"",COUNTIFS($B$26:$B$33,$B39,O$26:O$33,INDEX(ShiftCodes,MATCH($A39,ShiftNames,0)))+COUNTIFS($B$26:$B$33,$B39,O$26:O$33,'الإعدادات'!$E$10))</f>
        <v/>
      </c>
      <c r="P39" s="28">
        <f>IF(OR(P$3="",$A39="",$B39=""),"",COUNTIFS($B$26:$B$33,$B39,P$26:P$33,INDEX(ShiftCodes,MATCH($A39,ShiftNames,0)))+COUNTIFS($B$26:$B$33,$B39,P$26:P$33,'الإعدادات'!$E$10))</f>
        <v/>
      </c>
      <c r="Q39" s="28">
        <f>IF(OR(Q$3="",$A39="",$B39=""),"",COUNTIFS($B$26:$B$33,$B39,Q$26:Q$33,INDEX(ShiftCodes,MATCH($A39,ShiftNames,0)))+COUNTIFS($B$26:$B$33,$B39,Q$26:Q$33,'الإعدادات'!$E$10))</f>
        <v/>
      </c>
      <c r="R39" s="28">
        <f>IF(OR(R$3="",$A39="",$B39=""),"",COUNTIFS($B$26:$B$33,$B39,R$26:R$33,INDEX(ShiftCodes,MATCH($A39,ShiftNames,0)))+COUNTIFS($B$26:$B$33,$B39,R$26:R$33,'الإعدادات'!$E$10))</f>
        <v/>
      </c>
      <c r="S39" s="28">
        <f>IF(OR(S$3="",$A39="",$B39=""),"",COUNTIFS($B$26:$B$33,$B39,S$26:S$33,INDEX(ShiftCodes,MATCH($A39,ShiftNames,0)))+COUNTIFS($B$26:$B$33,$B39,S$26:S$33,'الإعدادات'!$E$10))</f>
        <v/>
      </c>
      <c r="T39" s="28">
        <f>IF(OR(T$3="",$A39="",$B39=""),"",COUNTIFS($B$26:$B$33,$B39,T$26:T$33,INDEX(ShiftCodes,MATCH($A39,ShiftNames,0)))+COUNTIFS($B$26:$B$33,$B39,T$26:T$33,'الإعدادات'!$E$10))</f>
        <v/>
      </c>
      <c r="U39" s="28">
        <f>IF(OR(U$3="",$A39="",$B39=""),"",COUNTIFS($B$26:$B$33,$B39,U$26:U$33,INDEX(ShiftCodes,MATCH($A39,ShiftNames,0)))+COUNTIFS($B$26:$B$33,$B39,U$26:U$33,'الإعدادات'!$E$10))</f>
        <v/>
      </c>
      <c r="V39" s="28">
        <f>IF(OR(V$3="",$A39="",$B39=""),"",COUNTIFS($B$26:$B$33,$B39,V$26:V$33,INDEX(ShiftCodes,MATCH($A39,ShiftNames,0)))+COUNTIFS($B$26:$B$33,$B39,V$26:V$33,'الإعدادات'!$E$10))</f>
        <v/>
      </c>
      <c r="W39" s="28">
        <f>IF(OR(W$3="",$A39="",$B39=""),"",COUNTIFS($B$26:$B$33,$B39,W$26:W$33,INDEX(ShiftCodes,MATCH($A39,ShiftNames,0)))+COUNTIFS($B$26:$B$33,$B39,W$26:W$33,'الإعدادات'!$E$10))</f>
        <v/>
      </c>
      <c r="X39" s="28">
        <f>IF(OR(X$3="",$A39="",$B39=""),"",COUNTIFS($B$26:$B$33,$B39,X$26:X$33,INDEX(ShiftCodes,MATCH($A39,ShiftNames,0)))+COUNTIFS($B$26:$B$33,$B39,X$26:X$33,'الإعدادات'!$E$10))</f>
        <v/>
      </c>
      <c r="Y39" s="28">
        <f>IF(OR(Y$3="",$A39="",$B39=""),"",COUNTIFS($B$26:$B$33,$B39,Y$26:Y$33,INDEX(ShiftCodes,MATCH($A39,ShiftNames,0)))+COUNTIFS($B$26:$B$33,$B39,Y$26:Y$33,'الإعدادات'!$E$10))</f>
        <v/>
      </c>
      <c r="Z39" s="28">
        <f>IF(OR(Z$3="",$A39="",$B39=""),"",COUNTIFS($B$26:$B$33,$B39,Z$26:Z$33,INDEX(ShiftCodes,MATCH($A39,ShiftNames,0)))+COUNTIFS($B$26:$B$33,$B39,Z$26:Z$33,'الإعدادات'!$E$10))</f>
        <v/>
      </c>
      <c r="AA39" s="28">
        <f>IF(OR(AA$3="",$A39="",$B39=""),"",COUNTIFS($B$26:$B$33,$B39,AA$26:AA$33,INDEX(ShiftCodes,MATCH($A39,ShiftNames,0)))+COUNTIFS($B$26:$B$33,$B39,AA$26:AA$33,'الإعدادات'!$E$10))</f>
        <v/>
      </c>
      <c r="AB39" s="28">
        <f>IF(OR(AB$3="",$A39="",$B39=""),"",COUNTIFS($B$26:$B$33,$B39,AB$26:AB$33,INDEX(ShiftCodes,MATCH($A39,ShiftNames,0)))+COUNTIFS($B$26:$B$33,$B39,AB$26:AB$33,'الإعدادات'!$E$10))</f>
        <v/>
      </c>
      <c r="AC39" s="28">
        <f>IF(OR(AC$3="",$A39="",$B39=""),"",COUNTIFS($B$26:$B$33,$B39,AC$26:AC$33,INDEX(ShiftCodes,MATCH($A39,ShiftNames,0)))+COUNTIFS($B$26:$B$33,$B39,AC$26:AC$33,'الإعدادات'!$E$10))</f>
        <v/>
      </c>
      <c r="AD39" s="28">
        <f>IF(OR(AD$3="",$A39="",$B39=""),"",COUNTIFS($B$26:$B$33,$B39,AD$26:AD$33,INDEX(ShiftCodes,MATCH($A39,ShiftNames,0)))+COUNTIFS($B$26:$B$33,$B39,AD$26:AD$33,'الإعدادات'!$E$10))</f>
        <v/>
      </c>
      <c r="AE39" s="28">
        <f>IF(OR(AE$3="",$A39="",$B39=""),"",COUNTIFS($B$26:$B$33,$B39,AE$26:AE$33,INDEX(ShiftCodes,MATCH($A39,ShiftNames,0)))+COUNTIFS($B$26:$B$33,$B39,AE$26:AE$33,'الإعدادات'!$E$10))</f>
        <v/>
      </c>
      <c r="AF39" s="28">
        <f>IF(OR(AF$3="",$A39="",$B39=""),"",COUNTIFS($B$26:$B$33,$B39,AF$26:AF$33,INDEX(ShiftCodes,MATCH($A39,ShiftNames,0)))+COUNTIFS($B$26:$B$33,$B39,AF$26:AF$33,'الإعدادات'!$E$10))</f>
        <v/>
      </c>
      <c r="AG39" s="28">
        <f>IF(OR(AG$3="",$A39="",$B39=""),"",COUNTIFS($B$26:$B$33,$B39,AG$26:AG$33,INDEX(ShiftCodes,MATCH($A39,ShiftNames,0)))+COUNTIFS($B$26:$B$33,$B39,AG$26:AG$33,'الإعدادات'!$E$10))</f>
        <v/>
      </c>
      <c r="AI39" s="28">
        <f>IF(OR($A39="",$B39=""),"",SUMIFS(MinCount,MinBranch,$A$25,MinShift,$A39,MinRole,$B39))</f>
        <v/>
      </c>
    </row>
    <row r="40">
      <c r="A40" s="4" t="inlineStr">
        <is>
          <t>مسائي</t>
        </is>
      </c>
      <c r="B40" s="4" t="inlineStr">
        <is>
          <t>مساعد</t>
        </is>
      </c>
      <c r="C40" s="28">
        <f>IF(OR(C$3="",$A40="",$B40=""),"",COUNTIFS($B$26:$B$33,$B40,C$26:C$33,INDEX(ShiftCodes,MATCH($A40,ShiftNames,0)))+COUNTIFS($B$26:$B$33,$B40,C$26:C$33,'الإعدادات'!$E$10))</f>
        <v/>
      </c>
      <c r="D40" s="28">
        <f>IF(OR(D$3="",$A40="",$B40=""),"",COUNTIFS($B$26:$B$33,$B40,D$26:D$33,INDEX(ShiftCodes,MATCH($A40,ShiftNames,0)))+COUNTIFS($B$26:$B$33,$B40,D$26:D$33,'الإعدادات'!$E$10))</f>
        <v/>
      </c>
      <c r="E40" s="28">
        <f>IF(OR(E$3="",$A40="",$B40=""),"",COUNTIFS($B$26:$B$33,$B40,E$26:E$33,INDEX(ShiftCodes,MATCH($A40,ShiftNames,0)))+COUNTIFS($B$26:$B$33,$B40,E$26:E$33,'الإعدادات'!$E$10))</f>
        <v/>
      </c>
      <c r="F40" s="28">
        <f>IF(OR(F$3="",$A40="",$B40=""),"",COUNTIFS($B$26:$B$33,$B40,F$26:F$33,INDEX(ShiftCodes,MATCH($A40,ShiftNames,0)))+COUNTIFS($B$26:$B$33,$B40,F$26:F$33,'الإعدادات'!$E$10))</f>
        <v/>
      </c>
      <c r="G40" s="28">
        <f>IF(OR(G$3="",$A40="",$B40=""),"",COUNTIFS($B$26:$B$33,$B40,G$26:G$33,INDEX(ShiftCodes,MATCH($A40,ShiftNames,0)))+COUNTIFS($B$26:$B$33,$B40,G$26:G$33,'الإعدادات'!$E$10))</f>
        <v/>
      </c>
      <c r="H40" s="28">
        <f>IF(OR(H$3="",$A40="",$B40=""),"",COUNTIFS($B$26:$B$33,$B40,H$26:H$33,INDEX(ShiftCodes,MATCH($A40,ShiftNames,0)))+COUNTIFS($B$26:$B$33,$B40,H$26:H$33,'الإعدادات'!$E$10))</f>
        <v/>
      </c>
      <c r="I40" s="28">
        <f>IF(OR(I$3="",$A40="",$B40=""),"",COUNTIFS($B$26:$B$33,$B40,I$26:I$33,INDEX(ShiftCodes,MATCH($A40,ShiftNames,0)))+COUNTIFS($B$26:$B$33,$B40,I$26:I$33,'الإعدادات'!$E$10))</f>
        <v/>
      </c>
      <c r="J40" s="28">
        <f>IF(OR(J$3="",$A40="",$B40=""),"",COUNTIFS($B$26:$B$33,$B40,J$26:J$33,INDEX(ShiftCodes,MATCH($A40,ShiftNames,0)))+COUNTIFS($B$26:$B$33,$B40,J$26:J$33,'الإعدادات'!$E$10))</f>
        <v/>
      </c>
      <c r="K40" s="28">
        <f>IF(OR(K$3="",$A40="",$B40=""),"",COUNTIFS($B$26:$B$33,$B40,K$26:K$33,INDEX(ShiftCodes,MATCH($A40,ShiftNames,0)))+COUNTIFS($B$26:$B$33,$B40,K$26:K$33,'الإعدادات'!$E$10))</f>
        <v/>
      </c>
      <c r="L40" s="28">
        <f>IF(OR(L$3="",$A40="",$B40=""),"",COUNTIFS($B$26:$B$33,$B40,L$26:L$33,INDEX(ShiftCodes,MATCH($A40,ShiftNames,0)))+COUNTIFS($B$26:$B$33,$B40,L$26:L$33,'الإعدادات'!$E$10))</f>
        <v/>
      </c>
      <c r="M40" s="28">
        <f>IF(OR(M$3="",$A40="",$B40=""),"",COUNTIFS($B$26:$B$33,$B40,M$26:M$33,INDEX(ShiftCodes,MATCH($A40,ShiftNames,0)))+COUNTIFS($B$26:$B$33,$B40,M$26:M$33,'الإعدادات'!$E$10))</f>
        <v/>
      </c>
      <c r="N40" s="28">
        <f>IF(OR(N$3="",$A40="",$B40=""),"",COUNTIFS($B$26:$B$33,$B40,N$26:N$33,INDEX(ShiftCodes,MATCH($A40,ShiftNames,0)))+COUNTIFS($B$26:$B$33,$B40,N$26:N$33,'الإعدادات'!$E$10))</f>
        <v/>
      </c>
      <c r="O40" s="28">
        <f>IF(OR(O$3="",$A40="",$B40=""),"",COUNTIFS($B$26:$B$33,$B40,O$26:O$33,INDEX(ShiftCodes,MATCH($A40,ShiftNames,0)))+COUNTIFS($B$26:$B$33,$B40,O$26:O$33,'الإعدادات'!$E$10))</f>
        <v/>
      </c>
      <c r="P40" s="28">
        <f>IF(OR(P$3="",$A40="",$B40=""),"",COUNTIFS($B$26:$B$33,$B40,P$26:P$33,INDEX(ShiftCodes,MATCH($A40,ShiftNames,0)))+COUNTIFS($B$26:$B$33,$B40,P$26:P$33,'الإعدادات'!$E$10))</f>
        <v/>
      </c>
      <c r="Q40" s="28">
        <f>IF(OR(Q$3="",$A40="",$B40=""),"",COUNTIFS($B$26:$B$33,$B40,Q$26:Q$33,INDEX(ShiftCodes,MATCH($A40,ShiftNames,0)))+COUNTIFS($B$26:$B$33,$B40,Q$26:Q$33,'الإعدادات'!$E$10))</f>
        <v/>
      </c>
      <c r="R40" s="28">
        <f>IF(OR(R$3="",$A40="",$B40=""),"",COUNTIFS($B$26:$B$33,$B40,R$26:R$33,INDEX(ShiftCodes,MATCH($A40,ShiftNames,0)))+COUNTIFS($B$26:$B$33,$B40,R$26:R$33,'الإعدادات'!$E$10))</f>
        <v/>
      </c>
      <c r="S40" s="28">
        <f>IF(OR(S$3="",$A40="",$B40=""),"",COUNTIFS($B$26:$B$33,$B40,S$26:S$33,INDEX(ShiftCodes,MATCH($A40,ShiftNames,0)))+COUNTIFS($B$26:$B$33,$B40,S$26:S$33,'الإعدادات'!$E$10))</f>
        <v/>
      </c>
      <c r="T40" s="28">
        <f>IF(OR(T$3="",$A40="",$B40=""),"",COUNTIFS($B$26:$B$33,$B40,T$26:T$33,INDEX(ShiftCodes,MATCH($A40,ShiftNames,0)))+COUNTIFS($B$26:$B$33,$B40,T$26:T$33,'الإعدادات'!$E$10))</f>
        <v/>
      </c>
      <c r="U40" s="28">
        <f>IF(OR(U$3="",$A40="",$B40=""),"",COUNTIFS($B$26:$B$33,$B40,U$26:U$33,INDEX(ShiftCodes,MATCH($A40,ShiftNames,0)))+COUNTIFS($B$26:$B$33,$B40,U$26:U$33,'الإعدادات'!$E$10))</f>
        <v/>
      </c>
      <c r="V40" s="28">
        <f>IF(OR(V$3="",$A40="",$B40=""),"",COUNTIFS($B$26:$B$33,$B40,V$26:V$33,INDEX(ShiftCodes,MATCH($A40,ShiftNames,0)))+COUNTIFS($B$26:$B$33,$B40,V$26:V$33,'الإعدادات'!$E$10))</f>
        <v/>
      </c>
      <c r="W40" s="28">
        <f>IF(OR(W$3="",$A40="",$B40=""),"",COUNTIFS($B$26:$B$33,$B40,W$26:W$33,INDEX(ShiftCodes,MATCH($A40,ShiftNames,0)))+COUNTIFS($B$26:$B$33,$B40,W$26:W$33,'الإعدادات'!$E$10))</f>
        <v/>
      </c>
      <c r="X40" s="28">
        <f>IF(OR(X$3="",$A40="",$B40=""),"",COUNTIFS($B$26:$B$33,$B40,X$26:X$33,INDEX(ShiftCodes,MATCH($A40,ShiftNames,0)))+COUNTIFS($B$26:$B$33,$B40,X$26:X$33,'الإعدادات'!$E$10))</f>
        <v/>
      </c>
      <c r="Y40" s="28">
        <f>IF(OR(Y$3="",$A40="",$B40=""),"",COUNTIFS($B$26:$B$33,$B40,Y$26:Y$33,INDEX(ShiftCodes,MATCH($A40,ShiftNames,0)))+COUNTIFS($B$26:$B$33,$B40,Y$26:Y$33,'الإعدادات'!$E$10))</f>
        <v/>
      </c>
      <c r="Z40" s="28">
        <f>IF(OR(Z$3="",$A40="",$B40=""),"",COUNTIFS($B$26:$B$33,$B40,Z$26:Z$33,INDEX(ShiftCodes,MATCH($A40,ShiftNames,0)))+COUNTIFS($B$26:$B$33,$B40,Z$26:Z$33,'الإعدادات'!$E$10))</f>
        <v/>
      </c>
      <c r="AA40" s="28">
        <f>IF(OR(AA$3="",$A40="",$B40=""),"",COUNTIFS($B$26:$B$33,$B40,AA$26:AA$33,INDEX(ShiftCodes,MATCH($A40,ShiftNames,0)))+COUNTIFS($B$26:$B$33,$B40,AA$26:AA$33,'الإعدادات'!$E$10))</f>
        <v/>
      </c>
      <c r="AB40" s="28">
        <f>IF(OR(AB$3="",$A40="",$B40=""),"",COUNTIFS($B$26:$B$33,$B40,AB$26:AB$33,INDEX(ShiftCodes,MATCH($A40,ShiftNames,0)))+COUNTIFS($B$26:$B$33,$B40,AB$26:AB$33,'الإعدادات'!$E$10))</f>
        <v/>
      </c>
      <c r="AC40" s="28">
        <f>IF(OR(AC$3="",$A40="",$B40=""),"",COUNTIFS($B$26:$B$33,$B40,AC$26:AC$33,INDEX(ShiftCodes,MATCH($A40,ShiftNames,0)))+COUNTIFS($B$26:$B$33,$B40,AC$26:AC$33,'الإعدادات'!$E$10))</f>
        <v/>
      </c>
      <c r="AD40" s="28">
        <f>IF(OR(AD$3="",$A40="",$B40=""),"",COUNTIFS($B$26:$B$33,$B40,AD$26:AD$33,INDEX(ShiftCodes,MATCH($A40,ShiftNames,0)))+COUNTIFS($B$26:$B$33,$B40,AD$26:AD$33,'الإعدادات'!$E$10))</f>
        <v/>
      </c>
      <c r="AE40" s="28">
        <f>IF(OR(AE$3="",$A40="",$B40=""),"",COUNTIFS($B$26:$B$33,$B40,AE$26:AE$33,INDEX(ShiftCodes,MATCH($A40,ShiftNames,0)))+COUNTIFS($B$26:$B$33,$B40,AE$26:AE$33,'الإعدادات'!$E$10))</f>
        <v/>
      </c>
      <c r="AF40" s="28">
        <f>IF(OR(AF$3="",$A40="",$B40=""),"",COUNTIFS($B$26:$B$33,$B40,AF$26:AF$33,INDEX(ShiftCodes,MATCH($A40,ShiftNames,0)))+COUNTIFS($B$26:$B$33,$B40,AF$26:AF$33,'الإعدادات'!$E$10))</f>
        <v/>
      </c>
      <c r="AG40" s="28">
        <f>IF(OR(AG$3="",$A40="",$B40=""),"",COUNTIFS($B$26:$B$33,$B40,AG$26:AG$33,INDEX(ShiftCodes,MATCH($A40,ShiftNames,0)))+COUNTIFS($B$26:$B$33,$B40,AG$26:AG$33,'الإعدادات'!$E$10))</f>
        <v/>
      </c>
      <c r="AI40" s="28">
        <f>IF(OR($A40="",$B40=""),"",SUMIFS(MinCount,MinBranch,$A$25,MinShift,$A40,MinRole,$B40))</f>
        <v/>
      </c>
    </row>
    <row r="42">
      <c r="A42" s="2" t="inlineStr">
        <is>
          <t>أحمر في الساعات: تجاوز الحد الأسبوعي. أحمر في العدد: أقل من الحد الأدنى في الإعدادات. الأعمدة الرمادية: أيام مغلقة.</t>
        </is>
      </c>
    </row>
    <row r="43">
      <c r="A43" s="2" t="inlineStr">
        <is>
          <t>هذه الورقة محسوبة كلها: غيّر الورديات في «خطة الورديات» والإجازات في «الإجازات». يمكنك تغيير الوردية والوظيفة في صفوف العدد.</t>
        </is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1" formatRows="0" sort="0"/>
  <mergeCells count="4">
    <mergeCell ref="A1:T1"/>
    <mergeCell ref="B2:F2"/>
    <mergeCell ref="A34:B34"/>
    <mergeCell ref="A17:B17"/>
  </mergeCells>
  <conditionalFormatting sqref="C9:AG16">
    <cfRule type="expression" priority="1" dxfId="0">
      <formula>AND(C9&lt;&gt;"",C9=$AJ$2)</formula>
    </cfRule>
    <cfRule type="expression" priority="2" dxfId="1">
      <formula>AND(C9&lt;&gt;"",C9=$AK$2)</formula>
    </cfRule>
    <cfRule type="expression" priority="3" dxfId="2">
      <formula>AND(C9&lt;&gt;"",C9=$AL$2)</formula>
    </cfRule>
    <cfRule type="expression" priority="4" dxfId="3">
      <formula>AND(C9&lt;&gt;"",C9=$AM$2)</formula>
    </cfRule>
    <cfRule type="expression" priority="5" dxfId="4">
      <formula>AND(C9&lt;&gt;"",C9=$AN$2)</formula>
    </cfRule>
    <cfRule type="expression" priority="6" dxfId="5">
      <formula>C$5=0</formula>
    </cfRule>
  </conditionalFormatting>
  <conditionalFormatting sqref="AI9:AN16">
    <cfRule type="expression" priority="7" dxfId="6">
      <formula>AND(ISNUMBER(AI9),ISNUMBER($AO9),AI9&gt;$AO9)</formula>
    </cfRule>
  </conditionalFormatting>
  <conditionalFormatting sqref="C18:AG23">
    <cfRule type="expression" priority="8" dxfId="6">
      <formula>AND(C$5=1,ISNUMBER(C18),C18&lt;$AI18)</formula>
    </cfRule>
    <cfRule type="expression" priority="9" dxfId="5">
      <formula>C$5=0</formula>
    </cfRule>
  </conditionalFormatting>
  <conditionalFormatting sqref="C26:AG33">
    <cfRule type="expression" priority="10" dxfId="0">
      <formula>AND(C26&lt;&gt;"",C26=$AJ$2)</formula>
    </cfRule>
    <cfRule type="expression" priority="11" dxfId="1">
      <formula>AND(C26&lt;&gt;"",C26=$AK$2)</formula>
    </cfRule>
    <cfRule type="expression" priority="12" dxfId="2">
      <formula>AND(C26&lt;&gt;"",C26=$AL$2)</formula>
    </cfRule>
    <cfRule type="expression" priority="13" dxfId="3">
      <formula>AND(C26&lt;&gt;"",C26=$AM$2)</formula>
    </cfRule>
    <cfRule type="expression" priority="14" dxfId="4">
      <formula>AND(C26&lt;&gt;"",C26=$AN$2)</formula>
    </cfRule>
    <cfRule type="expression" priority="15" dxfId="5">
      <formula>C$5=0</formula>
    </cfRule>
  </conditionalFormatting>
  <conditionalFormatting sqref="AI26:AN33">
    <cfRule type="expression" priority="16" dxfId="6">
      <formula>AND(ISNUMBER(AI26),ISNUMBER($AO26),AI26&gt;$AO26)</formula>
    </cfRule>
  </conditionalFormatting>
  <conditionalFormatting sqref="C35:AG40">
    <cfRule type="expression" priority="17" dxfId="6">
      <formula>AND(C$5=1,ISNUMBER(C35),C35&lt;$AI35)</formula>
    </cfRule>
    <cfRule type="expression" priority="18" dxfId="5">
      <formula>C$5=0</formula>
    </cfRule>
  </conditionalFormatting>
  <conditionalFormatting sqref="C3:AG6">
    <cfRule type="expression" priority="19" dxfId="5">
      <formula>C$5=0</formula>
    </cfRule>
  </conditionalFormatting>
  <dataValidations count="4">
    <dataValidation sqref="A18:A23" showDropDown="0" showInputMessage="0" showErrorMessage="0" allowBlank="1" errorTitle="قيمة غير صحيحة" error="اختر من القائمة." type="list">
      <formula1>"صباحي,مسائي"</formula1>
    </dataValidation>
    <dataValidation sqref="B18:B23" showDropDown="0" showInputMessage="0" showErrorMessage="0" allowBlank="1" errorTitle="قيمة غير صحيحة" error="اختر من القائمة." type="list">
      <formula1>=Roles</formula1>
    </dataValidation>
    <dataValidation sqref="A35:A40" showDropDown="0" showInputMessage="0" showErrorMessage="0" allowBlank="1" errorTitle="قيمة غير صحيحة" error="اختر من القائمة." type="list">
      <formula1>"صباحي,مسائي"</formula1>
    </dataValidation>
    <dataValidation sqref="B35:B40" showDropDown="0" showInputMessage="0" showErrorMessage="0" allowBlank="1" errorTitle="قيمة غير صحيحة" error="اختر من القائمة." type="list">
      <formula1>=Roles</formula1>
    </dataValidation>
  </dataValidations>
  <pageMargins left="0.75" right="0.75" top="1" bottom="1" header="0.5" footer="0.5"/>
  <pageSetup orientation="landscape" paperSize="9" fitToHeight="0" fitToWidth="1"/>
</worksheet>
</file>

<file path=xl/worksheets/sheet6.xml><?xml version="1.0" encoding="utf-8"?>
<worksheet xmlns="http://schemas.openxmlformats.org/spreadsheetml/2006/main">
  <sheetPr>
    <tabColor rgb="007B3FA0"/>
    <outlinePr summaryBelow="1" summaryRight="1"/>
    <pageSetUpPr fitToPage="1"/>
  </sheetPr>
  <dimension ref="A1:G37"/>
  <sheetViews>
    <sheetView showGridLines="0" rightToLeft="1" tabSelected="0" zoomScale="110" workbookViewId="0">
      <selection activeCell="A1" sqref="A1"/>
    </sheetView>
  </sheetViews>
  <sheetFormatPr baseColWidth="8" defaultRowHeight="15"/>
  <cols>
    <col width="22" customWidth="1" min="1" max="1"/>
    <col width="14" customWidth="1" min="2" max="2"/>
    <col width="13" customWidth="1" min="3" max="3"/>
    <col width="11" customWidth="1" min="4" max="4"/>
    <col width="11" customWidth="1" min="5" max="5"/>
    <col width="11" customWidth="1" min="6" max="6"/>
    <col width="13" customWidth="1" min="7" max="7"/>
  </cols>
  <sheetData>
    <row r="1">
      <c r="A1" s="35" t="inlineStr">
        <is>
          <t>أرصدة الإجازات</t>
        </is>
      </c>
    </row>
    <row r="2">
      <c r="A2" s="3" t="inlineStr">
        <is>
          <t>السنة</t>
        </is>
      </c>
      <c r="B2" s="28">
        <f>'الإعدادات'!B4</f>
        <v/>
      </c>
    </row>
    <row r="4" ht="32" customHeight="1">
      <c r="A4" s="7" t="inlineStr">
        <is>
          <t>الموظف</t>
        </is>
      </c>
      <c r="B4" s="7" t="inlineStr">
        <is>
          <t>الفرع</t>
        </is>
      </c>
      <c r="C4" s="7" t="inlineStr">
        <is>
          <t>الرصيد السنوي</t>
        </is>
      </c>
      <c r="D4" s="7" t="inlineStr">
        <is>
          <t>المأخوذ</t>
        </is>
      </c>
      <c r="E4" s="7" t="inlineStr">
        <is>
          <t>قيد الانتظار</t>
        </is>
      </c>
      <c r="F4" s="7" t="inlineStr">
        <is>
          <t>المتبقي</t>
        </is>
      </c>
      <c r="G4" s="7" t="inlineStr">
        <is>
          <t>أيام مرضية هذه السنة</t>
        </is>
      </c>
    </row>
    <row r="5">
      <c r="A5" s="8">
        <f>IF(INDEX(Staff,1)="","",INDEX(Staff,1))</f>
        <v/>
      </c>
      <c r="B5" s="8">
        <f>IF($A5="","",INDEX(StaffBranch,1))</f>
        <v/>
      </c>
      <c r="C5" s="28">
        <f>IF($A5="","",INDEX(StaffLeave,1))</f>
        <v/>
      </c>
      <c r="D5" s="28">
        <f>IF($A5="","",SUMIFS(LvDays,LvStaff,$A5,LvType,"سنوية",LvStat,'الإعدادات'!$Q$8,LvFrom,"&gt;="&amp;DATE($B$2,1,1),LvFrom,"&lt;="&amp;DATE($B$2,12,31)))</f>
        <v/>
      </c>
      <c r="E5" s="28">
        <f>IF($A5="","",SUMIFS(LvDays,LvStaff,$A5,LvType,"سنوية",LvStat,'الإعدادات'!$Q$9,LvFrom,"&gt;="&amp;DATE($B$2,1,1),LvFrom,"&lt;="&amp;DATE($B$2,12,31)))</f>
        <v/>
      </c>
      <c r="F5" s="34">
        <f>IF($A5="","",C5-D5)</f>
        <v/>
      </c>
      <c r="G5" s="28">
        <f>IF($A5="","",SUMIFS(LvDays,LvStaff,$A5,LvType,"مرضية",LvStat,'الإعدادات'!$Q$8,LvFrom,"&gt;="&amp;DATE($B$2,1,1),LvFrom,"&lt;="&amp;DATE($B$2,12,31)))</f>
        <v/>
      </c>
    </row>
    <row r="6">
      <c r="A6" s="8">
        <f>IF(INDEX(Staff,2)="","",INDEX(Staff,2))</f>
        <v/>
      </c>
      <c r="B6" s="8">
        <f>IF($A6="","",INDEX(StaffBranch,2))</f>
        <v/>
      </c>
      <c r="C6" s="28">
        <f>IF($A6="","",INDEX(StaffLeave,2))</f>
        <v/>
      </c>
      <c r="D6" s="28">
        <f>IF($A6="","",SUMIFS(LvDays,LvStaff,$A6,LvType,"سنوية",LvStat,'الإعدادات'!$Q$8,LvFrom,"&gt;="&amp;DATE($B$2,1,1),LvFrom,"&lt;="&amp;DATE($B$2,12,31)))</f>
        <v/>
      </c>
      <c r="E6" s="28">
        <f>IF($A6="","",SUMIFS(LvDays,LvStaff,$A6,LvType,"سنوية",LvStat,'الإعدادات'!$Q$9,LvFrom,"&gt;="&amp;DATE($B$2,1,1),LvFrom,"&lt;="&amp;DATE($B$2,12,31)))</f>
        <v/>
      </c>
      <c r="F6" s="34">
        <f>IF($A6="","",C6-D6)</f>
        <v/>
      </c>
      <c r="G6" s="28">
        <f>IF($A6="","",SUMIFS(LvDays,LvStaff,$A6,LvType,"مرضية",LvStat,'الإعدادات'!$Q$8,LvFrom,"&gt;="&amp;DATE($B$2,1,1),LvFrom,"&lt;="&amp;DATE($B$2,12,31)))</f>
        <v/>
      </c>
    </row>
    <row r="7">
      <c r="A7" s="8">
        <f>IF(INDEX(Staff,3)="","",INDEX(Staff,3))</f>
        <v/>
      </c>
      <c r="B7" s="8">
        <f>IF($A7="","",INDEX(StaffBranch,3))</f>
        <v/>
      </c>
      <c r="C7" s="28">
        <f>IF($A7="","",INDEX(StaffLeave,3))</f>
        <v/>
      </c>
      <c r="D7" s="28">
        <f>IF($A7="","",SUMIFS(LvDays,LvStaff,$A7,LvType,"سنوية",LvStat,'الإعدادات'!$Q$8,LvFrom,"&gt;="&amp;DATE($B$2,1,1),LvFrom,"&lt;="&amp;DATE($B$2,12,31)))</f>
        <v/>
      </c>
      <c r="E7" s="28">
        <f>IF($A7="","",SUMIFS(LvDays,LvStaff,$A7,LvType,"سنوية",LvStat,'الإعدادات'!$Q$9,LvFrom,"&gt;="&amp;DATE($B$2,1,1),LvFrom,"&lt;="&amp;DATE($B$2,12,31)))</f>
        <v/>
      </c>
      <c r="F7" s="34">
        <f>IF($A7="","",C7-D7)</f>
        <v/>
      </c>
      <c r="G7" s="28">
        <f>IF($A7="","",SUMIFS(LvDays,LvStaff,$A7,LvType,"مرضية",LvStat,'الإعدادات'!$Q$8,LvFrom,"&gt;="&amp;DATE($B$2,1,1),LvFrom,"&lt;="&amp;DATE($B$2,12,31)))</f>
        <v/>
      </c>
    </row>
    <row r="8">
      <c r="A8" s="8">
        <f>IF(INDEX(Staff,4)="","",INDEX(Staff,4))</f>
        <v/>
      </c>
      <c r="B8" s="8">
        <f>IF($A8="","",INDEX(StaffBranch,4))</f>
        <v/>
      </c>
      <c r="C8" s="28">
        <f>IF($A8="","",INDEX(StaffLeave,4))</f>
        <v/>
      </c>
      <c r="D8" s="28">
        <f>IF($A8="","",SUMIFS(LvDays,LvStaff,$A8,LvType,"سنوية",LvStat,'الإعدادات'!$Q$8,LvFrom,"&gt;="&amp;DATE($B$2,1,1),LvFrom,"&lt;="&amp;DATE($B$2,12,31)))</f>
        <v/>
      </c>
      <c r="E8" s="28">
        <f>IF($A8="","",SUMIFS(LvDays,LvStaff,$A8,LvType,"سنوية",LvStat,'الإعدادات'!$Q$9,LvFrom,"&gt;="&amp;DATE($B$2,1,1),LvFrom,"&lt;="&amp;DATE($B$2,12,31)))</f>
        <v/>
      </c>
      <c r="F8" s="34">
        <f>IF($A8="","",C8-D8)</f>
        <v/>
      </c>
      <c r="G8" s="28">
        <f>IF($A8="","",SUMIFS(LvDays,LvStaff,$A8,LvType,"مرضية",LvStat,'الإعدادات'!$Q$8,LvFrom,"&gt;="&amp;DATE($B$2,1,1),LvFrom,"&lt;="&amp;DATE($B$2,12,31)))</f>
        <v/>
      </c>
    </row>
    <row r="9">
      <c r="A9" s="8">
        <f>IF(INDEX(Staff,5)="","",INDEX(Staff,5))</f>
        <v/>
      </c>
      <c r="B9" s="8">
        <f>IF($A9="","",INDEX(StaffBranch,5))</f>
        <v/>
      </c>
      <c r="C9" s="28">
        <f>IF($A9="","",INDEX(StaffLeave,5))</f>
        <v/>
      </c>
      <c r="D9" s="28">
        <f>IF($A9="","",SUMIFS(LvDays,LvStaff,$A9,LvType,"سنوية",LvStat,'الإعدادات'!$Q$8,LvFrom,"&gt;="&amp;DATE($B$2,1,1),LvFrom,"&lt;="&amp;DATE($B$2,12,31)))</f>
        <v/>
      </c>
      <c r="E9" s="28">
        <f>IF($A9="","",SUMIFS(LvDays,LvStaff,$A9,LvType,"سنوية",LvStat,'الإعدادات'!$Q$9,LvFrom,"&gt;="&amp;DATE($B$2,1,1),LvFrom,"&lt;="&amp;DATE($B$2,12,31)))</f>
        <v/>
      </c>
      <c r="F9" s="34">
        <f>IF($A9="","",C9-D9)</f>
        <v/>
      </c>
      <c r="G9" s="28">
        <f>IF($A9="","",SUMIFS(LvDays,LvStaff,$A9,LvType,"مرضية",LvStat,'الإعدادات'!$Q$8,LvFrom,"&gt;="&amp;DATE($B$2,1,1),LvFrom,"&lt;="&amp;DATE($B$2,12,31)))</f>
        <v/>
      </c>
    </row>
    <row r="10">
      <c r="A10" s="8">
        <f>IF(INDEX(Staff,6)="","",INDEX(Staff,6))</f>
        <v/>
      </c>
      <c r="B10" s="8">
        <f>IF($A10="","",INDEX(StaffBranch,6))</f>
        <v/>
      </c>
      <c r="C10" s="28">
        <f>IF($A10="","",INDEX(StaffLeave,6))</f>
        <v/>
      </c>
      <c r="D10" s="28">
        <f>IF($A10="","",SUMIFS(LvDays,LvStaff,$A10,LvType,"سنوية",LvStat,'الإعدادات'!$Q$8,LvFrom,"&gt;="&amp;DATE($B$2,1,1),LvFrom,"&lt;="&amp;DATE($B$2,12,31)))</f>
        <v/>
      </c>
      <c r="E10" s="28">
        <f>IF($A10="","",SUMIFS(LvDays,LvStaff,$A10,LvType,"سنوية",LvStat,'الإعدادات'!$Q$9,LvFrom,"&gt;="&amp;DATE($B$2,1,1),LvFrom,"&lt;="&amp;DATE($B$2,12,31)))</f>
        <v/>
      </c>
      <c r="F10" s="34">
        <f>IF($A10="","",C10-D10)</f>
        <v/>
      </c>
      <c r="G10" s="28">
        <f>IF($A10="","",SUMIFS(LvDays,LvStaff,$A10,LvType,"مرضية",LvStat,'الإعدادات'!$Q$8,LvFrom,"&gt;="&amp;DATE($B$2,1,1),LvFrom,"&lt;="&amp;DATE($B$2,12,31)))</f>
        <v/>
      </c>
    </row>
    <row r="11">
      <c r="A11" s="8">
        <f>IF(INDEX(Staff,7)="","",INDEX(Staff,7))</f>
        <v/>
      </c>
      <c r="B11" s="8">
        <f>IF($A11="","",INDEX(StaffBranch,7))</f>
        <v/>
      </c>
      <c r="C11" s="28">
        <f>IF($A11="","",INDEX(StaffLeave,7))</f>
        <v/>
      </c>
      <c r="D11" s="28">
        <f>IF($A11="","",SUMIFS(LvDays,LvStaff,$A11,LvType,"سنوية",LvStat,'الإعدادات'!$Q$8,LvFrom,"&gt;="&amp;DATE($B$2,1,1),LvFrom,"&lt;="&amp;DATE($B$2,12,31)))</f>
        <v/>
      </c>
      <c r="E11" s="28">
        <f>IF($A11="","",SUMIFS(LvDays,LvStaff,$A11,LvType,"سنوية",LvStat,'الإعدادات'!$Q$9,LvFrom,"&gt;="&amp;DATE($B$2,1,1),LvFrom,"&lt;="&amp;DATE($B$2,12,31)))</f>
        <v/>
      </c>
      <c r="F11" s="34">
        <f>IF($A11="","",C11-D11)</f>
        <v/>
      </c>
      <c r="G11" s="28">
        <f>IF($A11="","",SUMIFS(LvDays,LvStaff,$A11,LvType,"مرضية",LvStat,'الإعدادات'!$Q$8,LvFrom,"&gt;="&amp;DATE($B$2,1,1),LvFrom,"&lt;="&amp;DATE($B$2,12,31)))</f>
        <v/>
      </c>
    </row>
    <row r="12">
      <c r="A12" s="8">
        <f>IF(INDEX(Staff,8)="","",INDEX(Staff,8))</f>
        <v/>
      </c>
      <c r="B12" s="8">
        <f>IF($A12="","",INDEX(StaffBranch,8))</f>
        <v/>
      </c>
      <c r="C12" s="28">
        <f>IF($A12="","",INDEX(StaffLeave,8))</f>
        <v/>
      </c>
      <c r="D12" s="28">
        <f>IF($A12="","",SUMIFS(LvDays,LvStaff,$A12,LvType,"سنوية",LvStat,'الإعدادات'!$Q$8,LvFrom,"&gt;="&amp;DATE($B$2,1,1),LvFrom,"&lt;="&amp;DATE($B$2,12,31)))</f>
        <v/>
      </c>
      <c r="E12" s="28">
        <f>IF($A12="","",SUMIFS(LvDays,LvStaff,$A12,LvType,"سنوية",LvStat,'الإعدادات'!$Q$9,LvFrom,"&gt;="&amp;DATE($B$2,1,1),LvFrom,"&lt;="&amp;DATE($B$2,12,31)))</f>
        <v/>
      </c>
      <c r="F12" s="34">
        <f>IF($A12="","",C12-D12)</f>
        <v/>
      </c>
      <c r="G12" s="28">
        <f>IF($A12="","",SUMIFS(LvDays,LvStaff,$A12,LvType,"مرضية",LvStat,'الإعدادات'!$Q$8,LvFrom,"&gt;="&amp;DATE($B$2,1,1),LvFrom,"&lt;="&amp;DATE($B$2,12,31)))</f>
        <v/>
      </c>
    </row>
    <row r="13">
      <c r="A13" s="8">
        <f>IF(INDEX(Staff,9)="","",INDEX(Staff,9))</f>
        <v/>
      </c>
      <c r="B13" s="8">
        <f>IF($A13="","",INDEX(StaffBranch,9))</f>
        <v/>
      </c>
      <c r="C13" s="28">
        <f>IF($A13="","",INDEX(StaffLeave,9))</f>
        <v/>
      </c>
      <c r="D13" s="28">
        <f>IF($A13="","",SUMIFS(LvDays,LvStaff,$A13,LvType,"سنوية",LvStat,'الإعدادات'!$Q$8,LvFrom,"&gt;="&amp;DATE($B$2,1,1),LvFrom,"&lt;="&amp;DATE($B$2,12,31)))</f>
        <v/>
      </c>
      <c r="E13" s="28">
        <f>IF($A13="","",SUMIFS(LvDays,LvStaff,$A13,LvType,"سنوية",LvStat,'الإعدادات'!$Q$9,LvFrom,"&gt;="&amp;DATE($B$2,1,1),LvFrom,"&lt;="&amp;DATE($B$2,12,31)))</f>
        <v/>
      </c>
      <c r="F13" s="34">
        <f>IF($A13="","",C13-D13)</f>
        <v/>
      </c>
      <c r="G13" s="28">
        <f>IF($A13="","",SUMIFS(LvDays,LvStaff,$A13,LvType,"مرضية",LvStat,'الإعدادات'!$Q$8,LvFrom,"&gt;="&amp;DATE($B$2,1,1),LvFrom,"&lt;="&amp;DATE($B$2,12,31)))</f>
        <v/>
      </c>
    </row>
    <row r="14">
      <c r="A14" s="8">
        <f>IF(INDEX(Staff,10)="","",INDEX(Staff,10))</f>
        <v/>
      </c>
      <c r="B14" s="8">
        <f>IF($A14="","",INDEX(StaffBranch,10))</f>
        <v/>
      </c>
      <c r="C14" s="28">
        <f>IF($A14="","",INDEX(StaffLeave,10))</f>
        <v/>
      </c>
      <c r="D14" s="28">
        <f>IF($A14="","",SUMIFS(LvDays,LvStaff,$A14,LvType,"سنوية",LvStat,'الإعدادات'!$Q$8,LvFrom,"&gt;="&amp;DATE($B$2,1,1),LvFrom,"&lt;="&amp;DATE($B$2,12,31)))</f>
        <v/>
      </c>
      <c r="E14" s="28">
        <f>IF($A14="","",SUMIFS(LvDays,LvStaff,$A14,LvType,"سنوية",LvStat,'الإعدادات'!$Q$9,LvFrom,"&gt;="&amp;DATE($B$2,1,1),LvFrom,"&lt;="&amp;DATE($B$2,12,31)))</f>
        <v/>
      </c>
      <c r="F14" s="34">
        <f>IF($A14="","",C14-D14)</f>
        <v/>
      </c>
      <c r="G14" s="28">
        <f>IF($A14="","",SUMIFS(LvDays,LvStaff,$A14,LvType,"مرضية",LvStat,'الإعدادات'!$Q$8,LvFrom,"&gt;="&amp;DATE($B$2,1,1),LvFrom,"&lt;="&amp;DATE($B$2,12,31)))</f>
        <v/>
      </c>
    </row>
    <row r="15">
      <c r="A15" s="8">
        <f>IF(INDEX(Staff,11)="","",INDEX(Staff,11))</f>
        <v/>
      </c>
      <c r="B15" s="8">
        <f>IF($A15="","",INDEX(StaffBranch,11))</f>
        <v/>
      </c>
      <c r="C15" s="28">
        <f>IF($A15="","",INDEX(StaffLeave,11))</f>
        <v/>
      </c>
      <c r="D15" s="28">
        <f>IF($A15="","",SUMIFS(LvDays,LvStaff,$A15,LvType,"سنوية",LvStat,'الإعدادات'!$Q$8,LvFrom,"&gt;="&amp;DATE($B$2,1,1),LvFrom,"&lt;="&amp;DATE($B$2,12,31)))</f>
        <v/>
      </c>
      <c r="E15" s="28">
        <f>IF($A15="","",SUMIFS(LvDays,LvStaff,$A15,LvType,"سنوية",LvStat,'الإعدادات'!$Q$9,LvFrom,"&gt;="&amp;DATE($B$2,1,1),LvFrom,"&lt;="&amp;DATE($B$2,12,31)))</f>
        <v/>
      </c>
      <c r="F15" s="34">
        <f>IF($A15="","",C15-D15)</f>
        <v/>
      </c>
      <c r="G15" s="28">
        <f>IF($A15="","",SUMIFS(LvDays,LvStaff,$A15,LvType,"مرضية",LvStat,'الإعدادات'!$Q$8,LvFrom,"&gt;="&amp;DATE($B$2,1,1),LvFrom,"&lt;="&amp;DATE($B$2,12,31)))</f>
        <v/>
      </c>
    </row>
    <row r="16">
      <c r="A16" s="8">
        <f>IF(INDEX(Staff,12)="","",INDEX(Staff,12))</f>
        <v/>
      </c>
      <c r="B16" s="8">
        <f>IF($A16="","",INDEX(StaffBranch,12))</f>
        <v/>
      </c>
      <c r="C16" s="28">
        <f>IF($A16="","",INDEX(StaffLeave,12))</f>
        <v/>
      </c>
      <c r="D16" s="28">
        <f>IF($A16="","",SUMIFS(LvDays,LvStaff,$A16,LvType,"سنوية",LvStat,'الإعدادات'!$Q$8,LvFrom,"&gt;="&amp;DATE($B$2,1,1),LvFrom,"&lt;="&amp;DATE($B$2,12,31)))</f>
        <v/>
      </c>
      <c r="E16" s="28">
        <f>IF($A16="","",SUMIFS(LvDays,LvStaff,$A16,LvType,"سنوية",LvStat,'الإعدادات'!$Q$9,LvFrom,"&gt;="&amp;DATE($B$2,1,1),LvFrom,"&lt;="&amp;DATE($B$2,12,31)))</f>
        <v/>
      </c>
      <c r="F16" s="34">
        <f>IF($A16="","",C16-D16)</f>
        <v/>
      </c>
      <c r="G16" s="28">
        <f>IF($A16="","",SUMIFS(LvDays,LvStaff,$A16,LvType,"مرضية",LvStat,'الإعدادات'!$Q$8,LvFrom,"&gt;="&amp;DATE($B$2,1,1),LvFrom,"&lt;="&amp;DATE($B$2,12,31)))</f>
        <v/>
      </c>
    </row>
    <row r="17">
      <c r="A17" s="8">
        <f>IF(INDEX(Staff,13)="","",INDEX(Staff,13))</f>
        <v/>
      </c>
      <c r="B17" s="8">
        <f>IF($A17="","",INDEX(StaffBranch,13))</f>
        <v/>
      </c>
      <c r="C17" s="28">
        <f>IF($A17="","",INDEX(StaffLeave,13))</f>
        <v/>
      </c>
      <c r="D17" s="28">
        <f>IF($A17="","",SUMIFS(LvDays,LvStaff,$A17,LvType,"سنوية",LvStat,'الإعدادات'!$Q$8,LvFrom,"&gt;="&amp;DATE($B$2,1,1),LvFrom,"&lt;="&amp;DATE($B$2,12,31)))</f>
        <v/>
      </c>
      <c r="E17" s="28">
        <f>IF($A17="","",SUMIFS(LvDays,LvStaff,$A17,LvType,"سنوية",LvStat,'الإعدادات'!$Q$9,LvFrom,"&gt;="&amp;DATE($B$2,1,1),LvFrom,"&lt;="&amp;DATE($B$2,12,31)))</f>
        <v/>
      </c>
      <c r="F17" s="34">
        <f>IF($A17="","",C17-D17)</f>
        <v/>
      </c>
      <c r="G17" s="28">
        <f>IF($A17="","",SUMIFS(LvDays,LvStaff,$A17,LvType,"مرضية",LvStat,'الإعدادات'!$Q$8,LvFrom,"&gt;="&amp;DATE($B$2,1,1),LvFrom,"&lt;="&amp;DATE($B$2,12,31)))</f>
        <v/>
      </c>
    </row>
    <row r="18">
      <c r="A18" s="8">
        <f>IF(INDEX(Staff,14)="","",INDEX(Staff,14))</f>
        <v/>
      </c>
      <c r="B18" s="8">
        <f>IF($A18="","",INDEX(StaffBranch,14))</f>
        <v/>
      </c>
      <c r="C18" s="28">
        <f>IF($A18="","",INDEX(StaffLeave,14))</f>
        <v/>
      </c>
      <c r="D18" s="28">
        <f>IF($A18="","",SUMIFS(LvDays,LvStaff,$A18,LvType,"سنوية",LvStat,'الإعدادات'!$Q$8,LvFrom,"&gt;="&amp;DATE($B$2,1,1),LvFrom,"&lt;="&amp;DATE($B$2,12,31)))</f>
        <v/>
      </c>
      <c r="E18" s="28">
        <f>IF($A18="","",SUMIFS(LvDays,LvStaff,$A18,LvType,"سنوية",LvStat,'الإعدادات'!$Q$9,LvFrom,"&gt;="&amp;DATE($B$2,1,1),LvFrom,"&lt;="&amp;DATE($B$2,12,31)))</f>
        <v/>
      </c>
      <c r="F18" s="34">
        <f>IF($A18="","",C18-D18)</f>
        <v/>
      </c>
      <c r="G18" s="28">
        <f>IF($A18="","",SUMIFS(LvDays,LvStaff,$A18,LvType,"مرضية",LvStat,'الإعدادات'!$Q$8,LvFrom,"&gt;="&amp;DATE($B$2,1,1),LvFrom,"&lt;="&amp;DATE($B$2,12,31)))</f>
        <v/>
      </c>
    </row>
    <row r="19">
      <c r="A19" s="8">
        <f>IF(INDEX(Staff,15)="","",INDEX(Staff,15))</f>
        <v/>
      </c>
      <c r="B19" s="8">
        <f>IF($A19="","",INDEX(StaffBranch,15))</f>
        <v/>
      </c>
      <c r="C19" s="28">
        <f>IF($A19="","",INDEX(StaffLeave,15))</f>
        <v/>
      </c>
      <c r="D19" s="28">
        <f>IF($A19="","",SUMIFS(LvDays,LvStaff,$A19,LvType,"سنوية",LvStat,'الإعدادات'!$Q$8,LvFrom,"&gt;="&amp;DATE($B$2,1,1),LvFrom,"&lt;="&amp;DATE($B$2,12,31)))</f>
        <v/>
      </c>
      <c r="E19" s="28">
        <f>IF($A19="","",SUMIFS(LvDays,LvStaff,$A19,LvType,"سنوية",LvStat,'الإعدادات'!$Q$9,LvFrom,"&gt;="&amp;DATE($B$2,1,1),LvFrom,"&lt;="&amp;DATE($B$2,12,31)))</f>
        <v/>
      </c>
      <c r="F19" s="34">
        <f>IF($A19="","",C19-D19)</f>
        <v/>
      </c>
      <c r="G19" s="28">
        <f>IF($A19="","",SUMIFS(LvDays,LvStaff,$A19,LvType,"مرضية",LvStat,'الإعدادات'!$Q$8,LvFrom,"&gt;="&amp;DATE($B$2,1,1),LvFrom,"&lt;="&amp;DATE($B$2,12,31)))</f>
        <v/>
      </c>
    </row>
    <row r="20">
      <c r="A20" s="8">
        <f>IF(INDEX(Staff,16)="","",INDEX(Staff,16))</f>
        <v/>
      </c>
      <c r="B20" s="8">
        <f>IF($A20="","",INDEX(StaffBranch,16))</f>
        <v/>
      </c>
      <c r="C20" s="28">
        <f>IF($A20="","",INDEX(StaffLeave,16))</f>
        <v/>
      </c>
      <c r="D20" s="28">
        <f>IF($A20="","",SUMIFS(LvDays,LvStaff,$A20,LvType,"سنوية",LvStat,'الإعدادات'!$Q$8,LvFrom,"&gt;="&amp;DATE($B$2,1,1),LvFrom,"&lt;="&amp;DATE($B$2,12,31)))</f>
        <v/>
      </c>
      <c r="E20" s="28">
        <f>IF($A20="","",SUMIFS(LvDays,LvStaff,$A20,LvType,"سنوية",LvStat,'الإعدادات'!$Q$9,LvFrom,"&gt;="&amp;DATE($B$2,1,1),LvFrom,"&lt;="&amp;DATE($B$2,12,31)))</f>
        <v/>
      </c>
      <c r="F20" s="34">
        <f>IF($A20="","",C20-D20)</f>
        <v/>
      </c>
      <c r="G20" s="28">
        <f>IF($A20="","",SUMIFS(LvDays,LvStaff,$A20,LvType,"مرضية",LvStat,'الإعدادات'!$Q$8,LvFrom,"&gt;="&amp;DATE($B$2,1,1),LvFrom,"&lt;="&amp;DATE($B$2,12,31)))</f>
        <v/>
      </c>
    </row>
    <row r="21">
      <c r="A21" s="8">
        <f>IF(INDEX(Staff,17)="","",INDEX(Staff,17))</f>
        <v/>
      </c>
      <c r="B21" s="8">
        <f>IF($A21="","",INDEX(StaffBranch,17))</f>
        <v/>
      </c>
      <c r="C21" s="28">
        <f>IF($A21="","",INDEX(StaffLeave,17))</f>
        <v/>
      </c>
      <c r="D21" s="28">
        <f>IF($A21="","",SUMIFS(LvDays,LvStaff,$A21,LvType,"سنوية",LvStat,'الإعدادات'!$Q$8,LvFrom,"&gt;="&amp;DATE($B$2,1,1),LvFrom,"&lt;="&amp;DATE($B$2,12,31)))</f>
        <v/>
      </c>
      <c r="E21" s="28">
        <f>IF($A21="","",SUMIFS(LvDays,LvStaff,$A21,LvType,"سنوية",LvStat,'الإعدادات'!$Q$9,LvFrom,"&gt;="&amp;DATE($B$2,1,1),LvFrom,"&lt;="&amp;DATE($B$2,12,31)))</f>
        <v/>
      </c>
      <c r="F21" s="34">
        <f>IF($A21="","",C21-D21)</f>
        <v/>
      </c>
      <c r="G21" s="28">
        <f>IF($A21="","",SUMIFS(LvDays,LvStaff,$A21,LvType,"مرضية",LvStat,'الإعدادات'!$Q$8,LvFrom,"&gt;="&amp;DATE($B$2,1,1),LvFrom,"&lt;="&amp;DATE($B$2,12,31)))</f>
        <v/>
      </c>
    </row>
    <row r="22">
      <c r="A22" s="8">
        <f>IF(INDEX(Staff,18)="","",INDEX(Staff,18))</f>
        <v/>
      </c>
      <c r="B22" s="8">
        <f>IF($A22="","",INDEX(StaffBranch,18))</f>
        <v/>
      </c>
      <c r="C22" s="28">
        <f>IF($A22="","",INDEX(StaffLeave,18))</f>
        <v/>
      </c>
      <c r="D22" s="28">
        <f>IF($A22="","",SUMIFS(LvDays,LvStaff,$A22,LvType,"سنوية",LvStat,'الإعدادات'!$Q$8,LvFrom,"&gt;="&amp;DATE($B$2,1,1),LvFrom,"&lt;="&amp;DATE($B$2,12,31)))</f>
        <v/>
      </c>
      <c r="E22" s="28">
        <f>IF($A22="","",SUMIFS(LvDays,LvStaff,$A22,LvType,"سنوية",LvStat,'الإعدادات'!$Q$9,LvFrom,"&gt;="&amp;DATE($B$2,1,1),LvFrom,"&lt;="&amp;DATE($B$2,12,31)))</f>
        <v/>
      </c>
      <c r="F22" s="34">
        <f>IF($A22="","",C22-D22)</f>
        <v/>
      </c>
      <c r="G22" s="28">
        <f>IF($A22="","",SUMIFS(LvDays,LvStaff,$A22,LvType,"مرضية",LvStat,'الإعدادات'!$Q$8,LvFrom,"&gt;="&amp;DATE($B$2,1,1),LvFrom,"&lt;="&amp;DATE($B$2,12,31)))</f>
        <v/>
      </c>
    </row>
    <row r="23">
      <c r="A23" s="8">
        <f>IF(INDEX(Staff,19)="","",INDEX(Staff,19))</f>
        <v/>
      </c>
      <c r="B23" s="8">
        <f>IF($A23="","",INDEX(StaffBranch,19))</f>
        <v/>
      </c>
      <c r="C23" s="28">
        <f>IF($A23="","",INDEX(StaffLeave,19))</f>
        <v/>
      </c>
      <c r="D23" s="28">
        <f>IF($A23="","",SUMIFS(LvDays,LvStaff,$A23,LvType,"سنوية",LvStat,'الإعدادات'!$Q$8,LvFrom,"&gt;="&amp;DATE($B$2,1,1),LvFrom,"&lt;="&amp;DATE($B$2,12,31)))</f>
        <v/>
      </c>
      <c r="E23" s="28">
        <f>IF($A23="","",SUMIFS(LvDays,LvStaff,$A23,LvType,"سنوية",LvStat,'الإعدادات'!$Q$9,LvFrom,"&gt;="&amp;DATE($B$2,1,1),LvFrom,"&lt;="&amp;DATE($B$2,12,31)))</f>
        <v/>
      </c>
      <c r="F23" s="34">
        <f>IF($A23="","",C23-D23)</f>
        <v/>
      </c>
      <c r="G23" s="28">
        <f>IF($A23="","",SUMIFS(LvDays,LvStaff,$A23,LvType,"مرضية",LvStat,'الإعدادات'!$Q$8,LvFrom,"&gt;="&amp;DATE($B$2,1,1),LvFrom,"&lt;="&amp;DATE($B$2,12,31)))</f>
        <v/>
      </c>
    </row>
    <row r="24">
      <c r="A24" s="8">
        <f>IF(INDEX(Staff,20)="","",INDEX(Staff,20))</f>
        <v/>
      </c>
      <c r="B24" s="8">
        <f>IF($A24="","",INDEX(StaffBranch,20))</f>
        <v/>
      </c>
      <c r="C24" s="28">
        <f>IF($A24="","",INDEX(StaffLeave,20))</f>
        <v/>
      </c>
      <c r="D24" s="28">
        <f>IF($A24="","",SUMIFS(LvDays,LvStaff,$A24,LvType,"سنوية",LvStat,'الإعدادات'!$Q$8,LvFrom,"&gt;="&amp;DATE($B$2,1,1),LvFrom,"&lt;="&amp;DATE($B$2,12,31)))</f>
        <v/>
      </c>
      <c r="E24" s="28">
        <f>IF($A24="","",SUMIFS(LvDays,LvStaff,$A24,LvType,"سنوية",LvStat,'الإعدادات'!$Q$9,LvFrom,"&gt;="&amp;DATE($B$2,1,1),LvFrom,"&lt;="&amp;DATE($B$2,12,31)))</f>
        <v/>
      </c>
      <c r="F24" s="34">
        <f>IF($A24="","",C24-D24)</f>
        <v/>
      </c>
      <c r="G24" s="28">
        <f>IF($A24="","",SUMIFS(LvDays,LvStaff,$A24,LvType,"مرضية",LvStat,'الإعدادات'!$Q$8,LvFrom,"&gt;="&amp;DATE($B$2,1,1),LvFrom,"&lt;="&amp;DATE($B$2,12,31)))</f>
        <v/>
      </c>
    </row>
    <row r="25">
      <c r="A25" s="8">
        <f>IF(INDEX(Staff,21)="","",INDEX(Staff,21))</f>
        <v/>
      </c>
      <c r="B25" s="8">
        <f>IF($A25="","",INDEX(StaffBranch,21))</f>
        <v/>
      </c>
      <c r="C25" s="28">
        <f>IF($A25="","",INDEX(StaffLeave,21))</f>
        <v/>
      </c>
      <c r="D25" s="28">
        <f>IF($A25="","",SUMIFS(LvDays,LvStaff,$A25,LvType,"سنوية",LvStat,'الإعدادات'!$Q$8,LvFrom,"&gt;="&amp;DATE($B$2,1,1),LvFrom,"&lt;="&amp;DATE($B$2,12,31)))</f>
        <v/>
      </c>
      <c r="E25" s="28">
        <f>IF($A25="","",SUMIFS(LvDays,LvStaff,$A25,LvType,"سنوية",LvStat,'الإعدادات'!$Q$9,LvFrom,"&gt;="&amp;DATE($B$2,1,1),LvFrom,"&lt;="&amp;DATE($B$2,12,31)))</f>
        <v/>
      </c>
      <c r="F25" s="34">
        <f>IF($A25="","",C25-D25)</f>
        <v/>
      </c>
      <c r="G25" s="28">
        <f>IF($A25="","",SUMIFS(LvDays,LvStaff,$A25,LvType,"مرضية",LvStat,'الإعدادات'!$Q$8,LvFrom,"&gt;="&amp;DATE($B$2,1,1),LvFrom,"&lt;="&amp;DATE($B$2,12,31)))</f>
        <v/>
      </c>
    </row>
    <row r="26">
      <c r="A26" s="8">
        <f>IF(INDEX(Staff,22)="","",INDEX(Staff,22))</f>
        <v/>
      </c>
      <c r="B26" s="8">
        <f>IF($A26="","",INDEX(StaffBranch,22))</f>
        <v/>
      </c>
      <c r="C26" s="28">
        <f>IF($A26="","",INDEX(StaffLeave,22))</f>
        <v/>
      </c>
      <c r="D26" s="28">
        <f>IF($A26="","",SUMIFS(LvDays,LvStaff,$A26,LvType,"سنوية",LvStat,'الإعدادات'!$Q$8,LvFrom,"&gt;="&amp;DATE($B$2,1,1),LvFrom,"&lt;="&amp;DATE($B$2,12,31)))</f>
        <v/>
      </c>
      <c r="E26" s="28">
        <f>IF($A26="","",SUMIFS(LvDays,LvStaff,$A26,LvType,"سنوية",LvStat,'الإعدادات'!$Q$9,LvFrom,"&gt;="&amp;DATE($B$2,1,1),LvFrom,"&lt;="&amp;DATE($B$2,12,31)))</f>
        <v/>
      </c>
      <c r="F26" s="34">
        <f>IF($A26="","",C26-D26)</f>
        <v/>
      </c>
      <c r="G26" s="28">
        <f>IF($A26="","",SUMIFS(LvDays,LvStaff,$A26,LvType,"مرضية",LvStat,'الإعدادات'!$Q$8,LvFrom,"&gt;="&amp;DATE($B$2,1,1),LvFrom,"&lt;="&amp;DATE($B$2,12,31)))</f>
        <v/>
      </c>
    </row>
    <row r="27">
      <c r="A27" s="8">
        <f>IF(INDEX(Staff,23)="","",INDEX(Staff,23))</f>
        <v/>
      </c>
      <c r="B27" s="8">
        <f>IF($A27="","",INDEX(StaffBranch,23))</f>
        <v/>
      </c>
      <c r="C27" s="28">
        <f>IF($A27="","",INDEX(StaffLeave,23))</f>
        <v/>
      </c>
      <c r="D27" s="28">
        <f>IF($A27="","",SUMIFS(LvDays,LvStaff,$A27,LvType,"سنوية",LvStat,'الإعدادات'!$Q$8,LvFrom,"&gt;="&amp;DATE($B$2,1,1),LvFrom,"&lt;="&amp;DATE($B$2,12,31)))</f>
        <v/>
      </c>
      <c r="E27" s="28">
        <f>IF($A27="","",SUMIFS(LvDays,LvStaff,$A27,LvType,"سنوية",LvStat,'الإعدادات'!$Q$9,LvFrom,"&gt;="&amp;DATE($B$2,1,1),LvFrom,"&lt;="&amp;DATE($B$2,12,31)))</f>
        <v/>
      </c>
      <c r="F27" s="34">
        <f>IF($A27="","",C27-D27)</f>
        <v/>
      </c>
      <c r="G27" s="28">
        <f>IF($A27="","",SUMIFS(LvDays,LvStaff,$A27,LvType,"مرضية",LvStat,'الإعدادات'!$Q$8,LvFrom,"&gt;="&amp;DATE($B$2,1,1),LvFrom,"&lt;="&amp;DATE($B$2,12,31)))</f>
        <v/>
      </c>
    </row>
    <row r="28">
      <c r="A28" s="8">
        <f>IF(INDEX(Staff,24)="","",INDEX(Staff,24))</f>
        <v/>
      </c>
      <c r="B28" s="8">
        <f>IF($A28="","",INDEX(StaffBranch,24))</f>
        <v/>
      </c>
      <c r="C28" s="28">
        <f>IF($A28="","",INDEX(StaffLeave,24))</f>
        <v/>
      </c>
      <c r="D28" s="28">
        <f>IF($A28="","",SUMIFS(LvDays,LvStaff,$A28,LvType,"سنوية",LvStat,'الإعدادات'!$Q$8,LvFrom,"&gt;="&amp;DATE($B$2,1,1),LvFrom,"&lt;="&amp;DATE($B$2,12,31)))</f>
        <v/>
      </c>
      <c r="E28" s="28">
        <f>IF($A28="","",SUMIFS(LvDays,LvStaff,$A28,LvType,"سنوية",LvStat,'الإعدادات'!$Q$9,LvFrom,"&gt;="&amp;DATE($B$2,1,1),LvFrom,"&lt;="&amp;DATE($B$2,12,31)))</f>
        <v/>
      </c>
      <c r="F28" s="34">
        <f>IF($A28="","",C28-D28)</f>
        <v/>
      </c>
      <c r="G28" s="28">
        <f>IF($A28="","",SUMIFS(LvDays,LvStaff,$A28,LvType,"مرضية",LvStat,'الإعدادات'!$Q$8,LvFrom,"&gt;="&amp;DATE($B$2,1,1),LvFrom,"&lt;="&amp;DATE($B$2,12,31)))</f>
        <v/>
      </c>
    </row>
    <row r="29">
      <c r="A29" s="8">
        <f>IF(INDEX(Staff,25)="","",INDEX(Staff,25))</f>
        <v/>
      </c>
      <c r="B29" s="8">
        <f>IF($A29="","",INDEX(StaffBranch,25))</f>
        <v/>
      </c>
      <c r="C29" s="28">
        <f>IF($A29="","",INDEX(StaffLeave,25))</f>
        <v/>
      </c>
      <c r="D29" s="28">
        <f>IF($A29="","",SUMIFS(LvDays,LvStaff,$A29,LvType,"سنوية",LvStat,'الإعدادات'!$Q$8,LvFrom,"&gt;="&amp;DATE($B$2,1,1),LvFrom,"&lt;="&amp;DATE($B$2,12,31)))</f>
        <v/>
      </c>
      <c r="E29" s="28">
        <f>IF($A29="","",SUMIFS(LvDays,LvStaff,$A29,LvType,"سنوية",LvStat,'الإعدادات'!$Q$9,LvFrom,"&gt;="&amp;DATE($B$2,1,1),LvFrom,"&lt;="&amp;DATE($B$2,12,31)))</f>
        <v/>
      </c>
      <c r="F29" s="34">
        <f>IF($A29="","",C29-D29)</f>
        <v/>
      </c>
      <c r="G29" s="28">
        <f>IF($A29="","",SUMIFS(LvDays,LvStaff,$A29,LvType,"مرضية",LvStat,'الإعدادات'!$Q$8,LvFrom,"&gt;="&amp;DATE($B$2,1,1),LvFrom,"&lt;="&amp;DATE($B$2,12,31)))</f>
        <v/>
      </c>
    </row>
    <row r="30">
      <c r="A30" s="8">
        <f>IF(INDEX(Staff,26)="","",INDEX(Staff,26))</f>
        <v/>
      </c>
      <c r="B30" s="8">
        <f>IF($A30="","",INDEX(StaffBranch,26))</f>
        <v/>
      </c>
      <c r="C30" s="28">
        <f>IF($A30="","",INDEX(StaffLeave,26))</f>
        <v/>
      </c>
      <c r="D30" s="28">
        <f>IF($A30="","",SUMIFS(LvDays,LvStaff,$A30,LvType,"سنوية",LvStat,'الإعدادات'!$Q$8,LvFrom,"&gt;="&amp;DATE($B$2,1,1),LvFrom,"&lt;="&amp;DATE($B$2,12,31)))</f>
        <v/>
      </c>
      <c r="E30" s="28">
        <f>IF($A30="","",SUMIFS(LvDays,LvStaff,$A30,LvType,"سنوية",LvStat,'الإعدادات'!$Q$9,LvFrom,"&gt;="&amp;DATE($B$2,1,1),LvFrom,"&lt;="&amp;DATE($B$2,12,31)))</f>
        <v/>
      </c>
      <c r="F30" s="34">
        <f>IF($A30="","",C30-D30)</f>
        <v/>
      </c>
      <c r="G30" s="28">
        <f>IF($A30="","",SUMIFS(LvDays,LvStaff,$A30,LvType,"مرضية",LvStat,'الإعدادات'!$Q$8,LvFrom,"&gt;="&amp;DATE($B$2,1,1),LvFrom,"&lt;="&amp;DATE($B$2,12,31)))</f>
        <v/>
      </c>
    </row>
    <row r="31">
      <c r="A31" s="8">
        <f>IF(INDEX(Staff,27)="","",INDEX(Staff,27))</f>
        <v/>
      </c>
      <c r="B31" s="8">
        <f>IF($A31="","",INDEX(StaffBranch,27))</f>
        <v/>
      </c>
      <c r="C31" s="28">
        <f>IF($A31="","",INDEX(StaffLeave,27))</f>
        <v/>
      </c>
      <c r="D31" s="28">
        <f>IF($A31="","",SUMIFS(LvDays,LvStaff,$A31,LvType,"سنوية",LvStat,'الإعدادات'!$Q$8,LvFrom,"&gt;="&amp;DATE($B$2,1,1),LvFrom,"&lt;="&amp;DATE($B$2,12,31)))</f>
        <v/>
      </c>
      <c r="E31" s="28">
        <f>IF($A31="","",SUMIFS(LvDays,LvStaff,$A31,LvType,"سنوية",LvStat,'الإعدادات'!$Q$9,LvFrom,"&gt;="&amp;DATE($B$2,1,1),LvFrom,"&lt;="&amp;DATE($B$2,12,31)))</f>
        <v/>
      </c>
      <c r="F31" s="34">
        <f>IF($A31="","",C31-D31)</f>
        <v/>
      </c>
      <c r="G31" s="28">
        <f>IF($A31="","",SUMIFS(LvDays,LvStaff,$A31,LvType,"مرضية",LvStat,'الإعدادات'!$Q$8,LvFrom,"&gt;="&amp;DATE($B$2,1,1),LvFrom,"&lt;="&amp;DATE($B$2,12,31)))</f>
        <v/>
      </c>
    </row>
    <row r="32">
      <c r="A32" s="8">
        <f>IF(INDEX(Staff,28)="","",INDEX(Staff,28))</f>
        <v/>
      </c>
      <c r="B32" s="8">
        <f>IF($A32="","",INDEX(StaffBranch,28))</f>
        <v/>
      </c>
      <c r="C32" s="28">
        <f>IF($A32="","",INDEX(StaffLeave,28))</f>
        <v/>
      </c>
      <c r="D32" s="28">
        <f>IF($A32="","",SUMIFS(LvDays,LvStaff,$A32,LvType,"سنوية",LvStat,'الإعدادات'!$Q$8,LvFrom,"&gt;="&amp;DATE($B$2,1,1),LvFrom,"&lt;="&amp;DATE($B$2,12,31)))</f>
        <v/>
      </c>
      <c r="E32" s="28">
        <f>IF($A32="","",SUMIFS(LvDays,LvStaff,$A32,LvType,"سنوية",LvStat,'الإعدادات'!$Q$9,LvFrom,"&gt;="&amp;DATE($B$2,1,1),LvFrom,"&lt;="&amp;DATE($B$2,12,31)))</f>
        <v/>
      </c>
      <c r="F32" s="34">
        <f>IF($A32="","",C32-D32)</f>
        <v/>
      </c>
      <c r="G32" s="28">
        <f>IF($A32="","",SUMIFS(LvDays,LvStaff,$A32,LvType,"مرضية",LvStat,'الإعدادات'!$Q$8,LvFrom,"&gt;="&amp;DATE($B$2,1,1),LvFrom,"&lt;="&amp;DATE($B$2,12,31)))</f>
        <v/>
      </c>
    </row>
    <row r="33">
      <c r="A33" s="8">
        <f>IF(INDEX(Staff,29)="","",INDEX(Staff,29))</f>
        <v/>
      </c>
      <c r="B33" s="8">
        <f>IF($A33="","",INDEX(StaffBranch,29))</f>
        <v/>
      </c>
      <c r="C33" s="28">
        <f>IF($A33="","",INDEX(StaffLeave,29))</f>
        <v/>
      </c>
      <c r="D33" s="28">
        <f>IF($A33="","",SUMIFS(LvDays,LvStaff,$A33,LvType,"سنوية",LvStat,'الإعدادات'!$Q$8,LvFrom,"&gt;="&amp;DATE($B$2,1,1),LvFrom,"&lt;="&amp;DATE($B$2,12,31)))</f>
        <v/>
      </c>
      <c r="E33" s="28">
        <f>IF($A33="","",SUMIFS(LvDays,LvStaff,$A33,LvType,"سنوية",LvStat,'الإعدادات'!$Q$9,LvFrom,"&gt;="&amp;DATE($B$2,1,1),LvFrom,"&lt;="&amp;DATE($B$2,12,31)))</f>
        <v/>
      </c>
      <c r="F33" s="34">
        <f>IF($A33="","",C33-D33)</f>
        <v/>
      </c>
      <c r="G33" s="28">
        <f>IF($A33="","",SUMIFS(LvDays,LvStaff,$A33,LvType,"مرضية",LvStat,'الإعدادات'!$Q$8,LvFrom,"&gt;="&amp;DATE($B$2,1,1),LvFrom,"&lt;="&amp;DATE($B$2,12,31)))</f>
        <v/>
      </c>
    </row>
    <row r="34">
      <c r="A34" s="8">
        <f>IF(INDEX(Staff,30)="","",INDEX(Staff,30))</f>
        <v/>
      </c>
      <c r="B34" s="8">
        <f>IF($A34="","",INDEX(StaffBranch,30))</f>
        <v/>
      </c>
      <c r="C34" s="28">
        <f>IF($A34="","",INDEX(StaffLeave,30))</f>
        <v/>
      </c>
      <c r="D34" s="28">
        <f>IF($A34="","",SUMIFS(LvDays,LvStaff,$A34,LvType,"سنوية",LvStat,'الإعدادات'!$Q$8,LvFrom,"&gt;="&amp;DATE($B$2,1,1),LvFrom,"&lt;="&amp;DATE($B$2,12,31)))</f>
        <v/>
      </c>
      <c r="E34" s="28">
        <f>IF($A34="","",SUMIFS(LvDays,LvStaff,$A34,LvType,"سنوية",LvStat,'الإعدادات'!$Q$9,LvFrom,"&gt;="&amp;DATE($B$2,1,1),LvFrom,"&lt;="&amp;DATE($B$2,12,31)))</f>
        <v/>
      </c>
      <c r="F34" s="34">
        <f>IF($A34="","",C34-D34)</f>
        <v/>
      </c>
      <c r="G34" s="28">
        <f>IF($A34="","",SUMIFS(LvDays,LvStaff,$A34,LvType,"مرضية",LvStat,'الإعدادات'!$Q$8,LvFrom,"&gt;="&amp;DATE($B$2,1,1),LvFrom,"&lt;="&amp;DATE($B$2,12,31)))</f>
        <v/>
      </c>
    </row>
    <row r="35">
      <c r="A35" s="2" t="inlineStr">
        <is>
          <t>أحمر: رصيد سالب، أو أكثر من 10 أيام مرضية في السنة. «قيد الانتظار» لم يُخصم بعد.</t>
        </is>
      </c>
    </row>
    <row r="37">
      <c r="A37" s="14" t="inlineStr">
        <is>
          <t>هذه الأرقام تُملأ تلقائيًا في ميديكولايز. اطلب عرضًا ←</t>
        </is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1" formatRows="0" sort="0"/>
  <mergeCells count="1">
    <mergeCell ref="A37:G37"/>
  </mergeCells>
  <conditionalFormatting sqref="F5:F34">
    <cfRule type="expression" priority="1" dxfId="6">
      <formula>AND(ISNUMBER(F5),F5&lt;0)</formula>
    </cfRule>
  </conditionalFormatting>
  <conditionalFormatting sqref="G5:G34">
    <cfRule type="expression" priority="2" dxfId="6">
      <formula>AND(ISNUMBER(G5),G5&gt;10)</formula>
    </cfRule>
  </conditionalFormatting>
  <hyperlinks>
    <hyperlink xmlns:r="http://schemas.openxmlformats.org/officeDocument/2006/relationships" ref="A37" r:id="rId1"/>
  </hyperlinks>
  <pageMargins left="0.75" right="0.75" top="1" bottom="1" header="0.5" footer="0.5"/>
  <pageSetup paperSize="9" fitToHeight="0" fitToWidth="1"/>
</worksheet>
</file>

<file path=xl/worksheets/sheet7.xml><?xml version="1.0" encoding="utf-8"?>
<worksheet xmlns="http://schemas.openxmlformats.org/spreadsheetml/2006/main">
  <sheetPr>
    <tabColor rgb="001F7A46"/>
    <outlinePr summaryBelow="1" summaryRight="1"/>
    <pageSetUpPr fitToPage="1"/>
  </sheetPr>
  <dimension ref="A1:K22"/>
  <sheetViews>
    <sheetView showGridLines="0" rightToLeft="1" tabSelected="0" zoomScale="110" workbookViewId="0">
      <selection activeCell="A1" sqref="A1"/>
    </sheetView>
  </sheetViews>
  <sheetFormatPr baseColWidth="8" defaultRowHeight="15"/>
  <cols>
    <col width="22" customWidth="1" min="1" max="1"/>
    <col width="12" customWidth="1" min="2" max="2"/>
    <col width="14" customWidth="1" min="3" max="3"/>
    <col width="11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</cols>
  <sheetData>
    <row r="1">
      <c r="A1" s="35">
        <f>'الإعدادات'!B3&amp;" · "&amp;"جدول الأسبوع"&amp;" · "&amp;B3</f>
        <v/>
      </c>
    </row>
    <row r="3">
      <c r="A3" s="3" t="inlineStr">
        <is>
          <t>الفرع</t>
        </is>
      </c>
      <c r="B3" s="4" t="inlineStr">
        <is>
          <t>الفرع الرئيسي</t>
        </is>
      </c>
      <c r="C3" s="5" t="n"/>
      <c r="D3" s="3" t="inlineStr">
        <is>
          <t>أول يوم</t>
        </is>
      </c>
      <c r="E3" s="12" t="n">
        <v>46215</v>
      </c>
      <c r="F3" s="5" t="n"/>
    </row>
    <row r="5">
      <c r="A5" s="7" t="inlineStr">
        <is>
          <t>الاسم</t>
        </is>
      </c>
      <c r="B5" s="7" t="inlineStr">
        <is>
          <t>الوظيفة</t>
        </is>
      </c>
      <c r="C5" s="7" t="inlineStr">
        <is>
          <t>الجوال</t>
        </is>
      </c>
      <c r="D5" s="36">
        <f>$E$3+0</f>
        <v/>
      </c>
      <c r="E5" s="36">
        <f>$E$3+1</f>
        <v/>
      </c>
      <c r="F5" s="36">
        <f>$E$3+2</f>
        <v/>
      </c>
      <c r="G5" s="36">
        <f>$E$3+3</f>
        <v/>
      </c>
      <c r="H5" s="36">
        <f>$E$3+4</f>
        <v/>
      </c>
      <c r="I5" s="36">
        <f>$E$3+5</f>
        <v/>
      </c>
      <c r="J5" s="36">
        <f>$E$3+6</f>
        <v/>
      </c>
    </row>
    <row r="6">
      <c r="A6" s="37" t="n"/>
      <c r="B6" s="37" t="n"/>
      <c r="C6" s="37" t="n"/>
      <c r="D6" s="7">
        <f>INDEX(DayNames,WEEKDAY(D5,2))</f>
        <v/>
      </c>
      <c r="E6" s="7">
        <f>INDEX(DayNames,WEEKDAY(E5,2))</f>
        <v/>
      </c>
      <c r="F6" s="7">
        <f>INDEX(DayNames,WEEKDAY(F5,2))</f>
        <v/>
      </c>
      <c r="G6" s="7">
        <f>INDEX(DayNames,WEEKDAY(G5,2))</f>
        <v/>
      </c>
      <c r="H6" s="7">
        <f>INDEX(DayNames,WEEKDAY(H5,2))</f>
        <v/>
      </c>
      <c r="I6" s="7">
        <f>INDEX(DayNames,WEEKDAY(I5,2))</f>
        <v/>
      </c>
      <c r="J6" s="7">
        <f>INDEX(DayNames,WEEKDAY(J5,2))</f>
        <v/>
      </c>
    </row>
    <row r="7" ht="22" customHeight="1">
      <c r="A7" s="8">
        <f>IFERROR(INDEX(Staff,MATCH($B$3&amp;"|"&amp;1,StaffKey,0)),"")</f>
        <v/>
      </c>
      <c r="B7" s="8">
        <f>IF($A7="","",IFERROR(INDEX(StaffRole,MATCH($A7,Staff,0)),""))</f>
        <v/>
      </c>
      <c r="C7" s="8">
        <f>IF($A7="","",IFERROR(INDEX(StaffPhone,MATCH($A7,Staff,0)),""))</f>
        <v/>
      </c>
      <c r="D7" s="38">
        <f>IF($A7="","",IFERROR(INDEX('الشهر'!$C$9:$AG$40,MATCH($A7,'الشهر'!$A$9:$A$40,0),MATCH(D$5,'الشهر'!$C$3:$AG$3,0)),""))</f>
        <v/>
      </c>
      <c r="E7" s="38">
        <f>IF($A7="","",IFERROR(INDEX('الشهر'!$C$9:$AG$40,MATCH($A7,'الشهر'!$A$9:$A$40,0),MATCH(E$5,'الشهر'!$C$3:$AG$3,0)),""))</f>
        <v/>
      </c>
      <c r="F7" s="38">
        <f>IF($A7="","",IFERROR(INDEX('الشهر'!$C$9:$AG$40,MATCH($A7,'الشهر'!$A$9:$A$40,0),MATCH(F$5,'الشهر'!$C$3:$AG$3,0)),""))</f>
        <v/>
      </c>
      <c r="G7" s="38">
        <f>IF($A7="","",IFERROR(INDEX('الشهر'!$C$9:$AG$40,MATCH($A7,'الشهر'!$A$9:$A$40,0),MATCH(G$5,'الشهر'!$C$3:$AG$3,0)),""))</f>
        <v/>
      </c>
      <c r="H7" s="38">
        <f>IF($A7="","",IFERROR(INDEX('الشهر'!$C$9:$AG$40,MATCH($A7,'الشهر'!$A$9:$A$40,0),MATCH(H$5,'الشهر'!$C$3:$AG$3,0)),""))</f>
        <v/>
      </c>
      <c r="I7" s="38">
        <f>IF($A7="","",IFERROR(INDEX('الشهر'!$C$9:$AG$40,MATCH($A7,'الشهر'!$A$9:$A$40,0),MATCH(I$5,'الشهر'!$C$3:$AG$3,0)),""))</f>
        <v/>
      </c>
      <c r="J7" s="38">
        <f>IF($A7="","",IFERROR(INDEX('الشهر'!$C$9:$AG$40,MATCH($A7,'الشهر'!$A$9:$A$40,0),MATCH(J$5,'الشهر'!$C$3:$AG$3,0)),""))</f>
        <v/>
      </c>
    </row>
    <row r="8" ht="22" customHeight="1">
      <c r="A8" s="8">
        <f>IFERROR(INDEX(Staff,MATCH($B$3&amp;"|"&amp;2,StaffKey,0)),"")</f>
        <v/>
      </c>
      <c r="B8" s="8">
        <f>IF($A8="","",IFERROR(INDEX(StaffRole,MATCH($A8,Staff,0)),""))</f>
        <v/>
      </c>
      <c r="C8" s="8">
        <f>IF($A8="","",IFERROR(INDEX(StaffPhone,MATCH($A8,Staff,0)),""))</f>
        <v/>
      </c>
      <c r="D8" s="38">
        <f>IF($A8="","",IFERROR(INDEX('الشهر'!$C$9:$AG$40,MATCH($A8,'الشهر'!$A$9:$A$40,0),MATCH(D$5,'الشهر'!$C$3:$AG$3,0)),""))</f>
        <v/>
      </c>
      <c r="E8" s="38">
        <f>IF($A8="","",IFERROR(INDEX('الشهر'!$C$9:$AG$40,MATCH($A8,'الشهر'!$A$9:$A$40,0),MATCH(E$5,'الشهر'!$C$3:$AG$3,0)),""))</f>
        <v/>
      </c>
      <c r="F8" s="38">
        <f>IF($A8="","",IFERROR(INDEX('الشهر'!$C$9:$AG$40,MATCH($A8,'الشهر'!$A$9:$A$40,0),MATCH(F$5,'الشهر'!$C$3:$AG$3,0)),""))</f>
        <v/>
      </c>
      <c r="G8" s="38">
        <f>IF($A8="","",IFERROR(INDEX('الشهر'!$C$9:$AG$40,MATCH($A8,'الشهر'!$A$9:$A$40,0),MATCH(G$5,'الشهر'!$C$3:$AG$3,0)),""))</f>
        <v/>
      </c>
      <c r="H8" s="38">
        <f>IF($A8="","",IFERROR(INDEX('الشهر'!$C$9:$AG$40,MATCH($A8,'الشهر'!$A$9:$A$40,0),MATCH(H$5,'الشهر'!$C$3:$AG$3,0)),""))</f>
        <v/>
      </c>
      <c r="I8" s="38">
        <f>IF($A8="","",IFERROR(INDEX('الشهر'!$C$9:$AG$40,MATCH($A8,'الشهر'!$A$9:$A$40,0),MATCH(I$5,'الشهر'!$C$3:$AG$3,0)),""))</f>
        <v/>
      </c>
      <c r="J8" s="38">
        <f>IF($A8="","",IFERROR(INDEX('الشهر'!$C$9:$AG$40,MATCH($A8,'الشهر'!$A$9:$A$40,0),MATCH(J$5,'الشهر'!$C$3:$AG$3,0)),""))</f>
        <v/>
      </c>
    </row>
    <row r="9" ht="22" customHeight="1">
      <c r="A9" s="8">
        <f>IFERROR(INDEX(Staff,MATCH($B$3&amp;"|"&amp;3,StaffKey,0)),"")</f>
        <v/>
      </c>
      <c r="B9" s="8">
        <f>IF($A9="","",IFERROR(INDEX(StaffRole,MATCH($A9,Staff,0)),""))</f>
        <v/>
      </c>
      <c r="C9" s="8">
        <f>IF($A9="","",IFERROR(INDEX(StaffPhone,MATCH($A9,Staff,0)),""))</f>
        <v/>
      </c>
      <c r="D9" s="38">
        <f>IF($A9="","",IFERROR(INDEX('الشهر'!$C$9:$AG$40,MATCH($A9,'الشهر'!$A$9:$A$40,0),MATCH(D$5,'الشهر'!$C$3:$AG$3,0)),""))</f>
        <v/>
      </c>
      <c r="E9" s="38">
        <f>IF($A9="","",IFERROR(INDEX('الشهر'!$C$9:$AG$40,MATCH($A9,'الشهر'!$A$9:$A$40,0),MATCH(E$5,'الشهر'!$C$3:$AG$3,0)),""))</f>
        <v/>
      </c>
      <c r="F9" s="38">
        <f>IF($A9="","",IFERROR(INDEX('الشهر'!$C$9:$AG$40,MATCH($A9,'الشهر'!$A$9:$A$40,0),MATCH(F$5,'الشهر'!$C$3:$AG$3,0)),""))</f>
        <v/>
      </c>
      <c r="G9" s="38">
        <f>IF($A9="","",IFERROR(INDEX('الشهر'!$C$9:$AG$40,MATCH($A9,'الشهر'!$A$9:$A$40,0),MATCH(G$5,'الشهر'!$C$3:$AG$3,0)),""))</f>
        <v/>
      </c>
      <c r="H9" s="38">
        <f>IF($A9="","",IFERROR(INDEX('الشهر'!$C$9:$AG$40,MATCH($A9,'الشهر'!$A$9:$A$40,0),MATCH(H$5,'الشهر'!$C$3:$AG$3,0)),""))</f>
        <v/>
      </c>
      <c r="I9" s="38">
        <f>IF($A9="","",IFERROR(INDEX('الشهر'!$C$9:$AG$40,MATCH($A9,'الشهر'!$A$9:$A$40,0),MATCH(I$5,'الشهر'!$C$3:$AG$3,0)),""))</f>
        <v/>
      </c>
      <c r="J9" s="38">
        <f>IF($A9="","",IFERROR(INDEX('الشهر'!$C$9:$AG$40,MATCH($A9,'الشهر'!$A$9:$A$40,0),MATCH(J$5,'الشهر'!$C$3:$AG$3,0)),""))</f>
        <v/>
      </c>
    </row>
    <row r="10" ht="22" customHeight="1">
      <c r="A10" s="8">
        <f>IFERROR(INDEX(Staff,MATCH($B$3&amp;"|"&amp;4,StaffKey,0)),"")</f>
        <v/>
      </c>
      <c r="B10" s="8">
        <f>IF($A10="","",IFERROR(INDEX(StaffRole,MATCH($A10,Staff,0)),""))</f>
        <v/>
      </c>
      <c r="C10" s="8">
        <f>IF($A10="","",IFERROR(INDEX(StaffPhone,MATCH($A10,Staff,0)),""))</f>
        <v/>
      </c>
      <c r="D10" s="38">
        <f>IF($A10="","",IFERROR(INDEX('الشهر'!$C$9:$AG$40,MATCH($A10,'الشهر'!$A$9:$A$40,0),MATCH(D$5,'الشهر'!$C$3:$AG$3,0)),""))</f>
        <v/>
      </c>
      <c r="E10" s="38">
        <f>IF($A10="","",IFERROR(INDEX('الشهر'!$C$9:$AG$40,MATCH($A10,'الشهر'!$A$9:$A$40,0),MATCH(E$5,'الشهر'!$C$3:$AG$3,0)),""))</f>
        <v/>
      </c>
      <c r="F10" s="38">
        <f>IF($A10="","",IFERROR(INDEX('الشهر'!$C$9:$AG$40,MATCH($A10,'الشهر'!$A$9:$A$40,0),MATCH(F$5,'الشهر'!$C$3:$AG$3,0)),""))</f>
        <v/>
      </c>
      <c r="G10" s="38">
        <f>IF($A10="","",IFERROR(INDEX('الشهر'!$C$9:$AG$40,MATCH($A10,'الشهر'!$A$9:$A$40,0),MATCH(G$5,'الشهر'!$C$3:$AG$3,0)),""))</f>
        <v/>
      </c>
      <c r="H10" s="38">
        <f>IF($A10="","",IFERROR(INDEX('الشهر'!$C$9:$AG$40,MATCH($A10,'الشهر'!$A$9:$A$40,0),MATCH(H$5,'الشهر'!$C$3:$AG$3,0)),""))</f>
        <v/>
      </c>
      <c r="I10" s="38">
        <f>IF($A10="","",IFERROR(INDEX('الشهر'!$C$9:$AG$40,MATCH($A10,'الشهر'!$A$9:$A$40,0),MATCH(I$5,'الشهر'!$C$3:$AG$3,0)),""))</f>
        <v/>
      </c>
      <c r="J10" s="38">
        <f>IF($A10="","",IFERROR(INDEX('الشهر'!$C$9:$AG$40,MATCH($A10,'الشهر'!$A$9:$A$40,0),MATCH(J$5,'الشهر'!$C$3:$AG$3,0)),""))</f>
        <v/>
      </c>
    </row>
    <row r="11" ht="22" customHeight="1">
      <c r="A11" s="8">
        <f>IFERROR(INDEX(Staff,MATCH($B$3&amp;"|"&amp;5,StaffKey,0)),"")</f>
        <v/>
      </c>
      <c r="B11" s="8">
        <f>IF($A11="","",IFERROR(INDEX(StaffRole,MATCH($A11,Staff,0)),""))</f>
        <v/>
      </c>
      <c r="C11" s="8">
        <f>IF($A11="","",IFERROR(INDEX(StaffPhone,MATCH($A11,Staff,0)),""))</f>
        <v/>
      </c>
      <c r="D11" s="38">
        <f>IF($A11="","",IFERROR(INDEX('الشهر'!$C$9:$AG$40,MATCH($A11,'الشهر'!$A$9:$A$40,0),MATCH(D$5,'الشهر'!$C$3:$AG$3,0)),""))</f>
        <v/>
      </c>
      <c r="E11" s="38">
        <f>IF($A11="","",IFERROR(INDEX('الشهر'!$C$9:$AG$40,MATCH($A11,'الشهر'!$A$9:$A$40,0),MATCH(E$5,'الشهر'!$C$3:$AG$3,0)),""))</f>
        <v/>
      </c>
      <c r="F11" s="38">
        <f>IF($A11="","",IFERROR(INDEX('الشهر'!$C$9:$AG$40,MATCH($A11,'الشهر'!$A$9:$A$40,0),MATCH(F$5,'الشهر'!$C$3:$AG$3,0)),""))</f>
        <v/>
      </c>
      <c r="G11" s="38">
        <f>IF($A11="","",IFERROR(INDEX('الشهر'!$C$9:$AG$40,MATCH($A11,'الشهر'!$A$9:$A$40,0),MATCH(G$5,'الشهر'!$C$3:$AG$3,0)),""))</f>
        <v/>
      </c>
      <c r="H11" s="38">
        <f>IF($A11="","",IFERROR(INDEX('الشهر'!$C$9:$AG$40,MATCH($A11,'الشهر'!$A$9:$A$40,0),MATCH(H$5,'الشهر'!$C$3:$AG$3,0)),""))</f>
        <v/>
      </c>
      <c r="I11" s="38">
        <f>IF($A11="","",IFERROR(INDEX('الشهر'!$C$9:$AG$40,MATCH($A11,'الشهر'!$A$9:$A$40,0),MATCH(I$5,'الشهر'!$C$3:$AG$3,0)),""))</f>
        <v/>
      </c>
      <c r="J11" s="38">
        <f>IF($A11="","",IFERROR(INDEX('الشهر'!$C$9:$AG$40,MATCH($A11,'الشهر'!$A$9:$A$40,0),MATCH(J$5,'الشهر'!$C$3:$AG$3,0)),""))</f>
        <v/>
      </c>
    </row>
    <row r="12" ht="22" customHeight="1">
      <c r="A12" s="8">
        <f>IFERROR(INDEX(Staff,MATCH($B$3&amp;"|"&amp;6,StaffKey,0)),"")</f>
        <v/>
      </c>
      <c r="B12" s="8">
        <f>IF($A12="","",IFERROR(INDEX(StaffRole,MATCH($A12,Staff,0)),""))</f>
        <v/>
      </c>
      <c r="C12" s="8">
        <f>IF($A12="","",IFERROR(INDEX(StaffPhone,MATCH($A12,Staff,0)),""))</f>
        <v/>
      </c>
      <c r="D12" s="38">
        <f>IF($A12="","",IFERROR(INDEX('الشهر'!$C$9:$AG$40,MATCH($A12,'الشهر'!$A$9:$A$40,0),MATCH(D$5,'الشهر'!$C$3:$AG$3,0)),""))</f>
        <v/>
      </c>
      <c r="E12" s="38">
        <f>IF($A12="","",IFERROR(INDEX('الشهر'!$C$9:$AG$40,MATCH($A12,'الشهر'!$A$9:$A$40,0),MATCH(E$5,'الشهر'!$C$3:$AG$3,0)),""))</f>
        <v/>
      </c>
      <c r="F12" s="38">
        <f>IF($A12="","",IFERROR(INDEX('الشهر'!$C$9:$AG$40,MATCH($A12,'الشهر'!$A$9:$A$40,0),MATCH(F$5,'الشهر'!$C$3:$AG$3,0)),""))</f>
        <v/>
      </c>
      <c r="G12" s="38">
        <f>IF($A12="","",IFERROR(INDEX('الشهر'!$C$9:$AG$40,MATCH($A12,'الشهر'!$A$9:$A$40,0),MATCH(G$5,'الشهر'!$C$3:$AG$3,0)),""))</f>
        <v/>
      </c>
      <c r="H12" s="38">
        <f>IF($A12="","",IFERROR(INDEX('الشهر'!$C$9:$AG$40,MATCH($A12,'الشهر'!$A$9:$A$40,0),MATCH(H$5,'الشهر'!$C$3:$AG$3,0)),""))</f>
        <v/>
      </c>
      <c r="I12" s="38">
        <f>IF($A12="","",IFERROR(INDEX('الشهر'!$C$9:$AG$40,MATCH($A12,'الشهر'!$A$9:$A$40,0),MATCH(I$5,'الشهر'!$C$3:$AG$3,0)),""))</f>
        <v/>
      </c>
      <c r="J12" s="38">
        <f>IF($A12="","",IFERROR(INDEX('الشهر'!$C$9:$AG$40,MATCH($A12,'الشهر'!$A$9:$A$40,0),MATCH(J$5,'الشهر'!$C$3:$AG$3,0)),""))</f>
        <v/>
      </c>
    </row>
    <row r="13" ht="22" customHeight="1">
      <c r="A13" s="8">
        <f>IFERROR(INDEX(Staff,MATCH($B$3&amp;"|"&amp;7,StaffKey,0)),"")</f>
        <v/>
      </c>
      <c r="B13" s="8">
        <f>IF($A13="","",IFERROR(INDEX(StaffRole,MATCH($A13,Staff,0)),""))</f>
        <v/>
      </c>
      <c r="C13" s="8">
        <f>IF($A13="","",IFERROR(INDEX(StaffPhone,MATCH($A13,Staff,0)),""))</f>
        <v/>
      </c>
      <c r="D13" s="38">
        <f>IF($A13="","",IFERROR(INDEX('الشهر'!$C$9:$AG$40,MATCH($A13,'الشهر'!$A$9:$A$40,0),MATCH(D$5,'الشهر'!$C$3:$AG$3,0)),""))</f>
        <v/>
      </c>
      <c r="E13" s="38">
        <f>IF($A13="","",IFERROR(INDEX('الشهر'!$C$9:$AG$40,MATCH($A13,'الشهر'!$A$9:$A$40,0),MATCH(E$5,'الشهر'!$C$3:$AG$3,0)),""))</f>
        <v/>
      </c>
      <c r="F13" s="38">
        <f>IF($A13="","",IFERROR(INDEX('الشهر'!$C$9:$AG$40,MATCH($A13,'الشهر'!$A$9:$A$40,0),MATCH(F$5,'الشهر'!$C$3:$AG$3,0)),""))</f>
        <v/>
      </c>
      <c r="G13" s="38">
        <f>IF($A13="","",IFERROR(INDEX('الشهر'!$C$9:$AG$40,MATCH($A13,'الشهر'!$A$9:$A$40,0),MATCH(G$5,'الشهر'!$C$3:$AG$3,0)),""))</f>
        <v/>
      </c>
      <c r="H13" s="38">
        <f>IF($A13="","",IFERROR(INDEX('الشهر'!$C$9:$AG$40,MATCH($A13,'الشهر'!$A$9:$A$40,0),MATCH(H$5,'الشهر'!$C$3:$AG$3,0)),""))</f>
        <v/>
      </c>
      <c r="I13" s="38">
        <f>IF($A13="","",IFERROR(INDEX('الشهر'!$C$9:$AG$40,MATCH($A13,'الشهر'!$A$9:$A$40,0),MATCH(I$5,'الشهر'!$C$3:$AG$3,0)),""))</f>
        <v/>
      </c>
      <c r="J13" s="38">
        <f>IF($A13="","",IFERROR(INDEX('الشهر'!$C$9:$AG$40,MATCH($A13,'الشهر'!$A$9:$A$40,0),MATCH(J$5,'الشهر'!$C$3:$AG$3,0)),""))</f>
        <v/>
      </c>
    </row>
    <row r="14" ht="22" customHeight="1">
      <c r="A14" s="8">
        <f>IFERROR(INDEX(Staff,MATCH($B$3&amp;"|"&amp;8,StaffKey,0)),"")</f>
        <v/>
      </c>
      <c r="B14" s="8">
        <f>IF($A14="","",IFERROR(INDEX(StaffRole,MATCH($A14,Staff,0)),""))</f>
        <v/>
      </c>
      <c r="C14" s="8">
        <f>IF($A14="","",IFERROR(INDEX(StaffPhone,MATCH($A14,Staff,0)),""))</f>
        <v/>
      </c>
      <c r="D14" s="38">
        <f>IF($A14="","",IFERROR(INDEX('الشهر'!$C$9:$AG$40,MATCH($A14,'الشهر'!$A$9:$A$40,0),MATCH(D$5,'الشهر'!$C$3:$AG$3,0)),""))</f>
        <v/>
      </c>
      <c r="E14" s="38">
        <f>IF($A14="","",IFERROR(INDEX('الشهر'!$C$9:$AG$40,MATCH($A14,'الشهر'!$A$9:$A$40,0),MATCH(E$5,'الشهر'!$C$3:$AG$3,0)),""))</f>
        <v/>
      </c>
      <c r="F14" s="38">
        <f>IF($A14="","",IFERROR(INDEX('الشهر'!$C$9:$AG$40,MATCH($A14,'الشهر'!$A$9:$A$40,0),MATCH(F$5,'الشهر'!$C$3:$AG$3,0)),""))</f>
        <v/>
      </c>
      <c r="G14" s="38">
        <f>IF($A14="","",IFERROR(INDEX('الشهر'!$C$9:$AG$40,MATCH($A14,'الشهر'!$A$9:$A$40,0),MATCH(G$5,'الشهر'!$C$3:$AG$3,0)),""))</f>
        <v/>
      </c>
      <c r="H14" s="38">
        <f>IF($A14="","",IFERROR(INDEX('الشهر'!$C$9:$AG$40,MATCH($A14,'الشهر'!$A$9:$A$40,0),MATCH(H$5,'الشهر'!$C$3:$AG$3,0)),""))</f>
        <v/>
      </c>
      <c r="I14" s="38">
        <f>IF($A14="","",IFERROR(INDEX('الشهر'!$C$9:$AG$40,MATCH($A14,'الشهر'!$A$9:$A$40,0),MATCH(I$5,'الشهر'!$C$3:$AG$3,0)),""))</f>
        <v/>
      </c>
      <c r="J14" s="38">
        <f>IF($A14="","",IFERROR(INDEX('الشهر'!$C$9:$AG$40,MATCH($A14,'الشهر'!$A$9:$A$40,0),MATCH(J$5,'الشهر'!$C$3:$AG$3,0)),""))</f>
        <v/>
      </c>
    </row>
    <row r="15" ht="22" customHeight="1">
      <c r="A15" s="8">
        <f>IFERROR(INDEX(Staff,MATCH($B$3&amp;"|"&amp;9,StaffKey,0)),"")</f>
        <v/>
      </c>
      <c r="B15" s="8">
        <f>IF($A15="","",IFERROR(INDEX(StaffRole,MATCH($A15,Staff,0)),""))</f>
        <v/>
      </c>
      <c r="C15" s="8">
        <f>IF($A15="","",IFERROR(INDEX(StaffPhone,MATCH($A15,Staff,0)),""))</f>
        <v/>
      </c>
      <c r="D15" s="38">
        <f>IF($A15="","",IFERROR(INDEX('الشهر'!$C$9:$AG$40,MATCH($A15,'الشهر'!$A$9:$A$40,0),MATCH(D$5,'الشهر'!$C$3:$AG$3,0)),""))</f>
        <v/>
      </c>
      <c r="E15" s="38">
        <f>IF($A15="","",IFERROR(INDEX('الشهر'!$C$9:$AG$40,MATCH($A15,'الشهر'!$A$9:$A$40,0),MATCH(E$5,'الشهر'!$C$3:$AG$3,0)),""))</f>
        <v/>
      </c>
      <c r="F15" s="38">
        <f>IF($A15="","",IFERROR(INDEX('الشهر'!$C$9:$AG$40,MATCH($A15,'الشهر'!$A$9:$A$40,0),MATCH(F$5,'الشهر'!$C$3:$AG$3,0)),""))</f>
        <v/>
      </c>
      <c r="G15" s="38">
        <f>IF($A15="","",IFERROR(INDEX('الشهر'!$C$9:$AG$40,MATCH($A15,'الشهر'!$A$9:$A$40,0),MATCH(G$5,'الشهر'!$C$3:$AG$3,0)),""))</f>
        <v/>
      </c>
      <c r="H15" s="38">
        <f>IF($A15="","",IFERROR(INDEX('الشهر'!$C$9:$AG$40,MATCH($A15,'الشهر'!$A$9:$A$40,0),MATCH(H$5,'الشهر'!$C$3:$AG$3,0)),""))</f>
        <v/>
      </c>
      <c r="I15" s="38">
        <f>IF($A15="","",IFERROR(INDEX('الشهر'!$C$9:$AG$40,MATCH($A15,'الشهر'!$A$9:$A$40,0),MATCH(I$5,'الشهر'!$C$3:$AG$3,0)),""))</f>
        <v/>
      </c>
      <c r="J15" s="38">
        <f>IF($A15="","",IFERROR(INDEX('الشهر'!$C$9:$AG$40,MATCH($A15,'الشهر'!$A$9:$A$40,0),MATCH(J$5,'الشهر'!$C$3:$AG$3,0)),""))</f>
        <v/>
      </c>
    </row>
    <row r="16" ht="22" customHeight="1">
      <c r="A16" s="8">
        <f>IFERROR(INDEX(Staff,MATCH($B$3&amp;"|"&amp;10,StaffKey,0)),"")</f>
        <v/>
      </c>
      <c r="B16" s="8">
        <f>IF($A16="","",IFERROR(INDEX(StaffRole,MATCH($A16,Staff,0)),""))</f>
        <v/>
      </c>
      <c r="C16" s="8">
        <f>IF($A16="","",IFERROR(INDEX(StaffPhone,MATCH($A16,Staff,0)),""))</f>
        <v/>
      </c>
      <c r="D16" s="38">
        <f>IF($A16="","",IFERROR(INDEX('الشهر'!$C$9:$AG$40,MATCH($A16,'الشهر'!$A$9:$A$40,0),MATCH(D$5,'الشهر'!$C$3:$AG$3,0)),""))</f>
        <v/>
      </c>
      <c r="E16" s="38">
        <f>IF($A16="","",IFERROR(INDEX('الشهر'!$C$9:$AG$40,MATCH($A16,'الشهر'!$A$9:$A$40,0),MATCH(E$5,'الشهر'!$C$3:$AG$3,0)),""))</f>
        <v/>
      </c>
      <c r="F16" s="38">
        <f>IF($A16="","",IFERROR(INDEX('الشهر'!$C$9:$AG$40,MATCH($A16,'الشهر'!$A$9:$A$40,0),MATCH(F$5,'الشهر'!$C$3:$AG$3,0)),""))</f>
        <v/>
      </c>
      <c r="G16" s="38">
        <f>IF($A16="","",IFERROR(INDEX('الشهر'!$C$9:$AG$40,MATCH($A16,'الشهر'!$A$9:$A$40,0),MATCH(G$5,'الشهر'!$C$3:$AG$3,0)),""))</f>
        <v/>
      </c>
      <c r="H16" s="38">
        <f>IF($A16="","",IFERROR(INDEX('الشهر'!$C$9:$AG$40,MATCH($A16,'الشهر'!$A$9:$A$40,0),MATCH(H$5,'الشهر'!$C$3:$AG$3,0)),""))</f>
        <v/>
      </c>
      <c r="I16" s="38">
        <f>IF($A16="","",IFERROR(INDEX('الشهر'!$C$9:$AG$40,MATCH($A16,'الشهر'!$A$9:$A$40,0),MATCH(I$5,'الشهر'!$C$3:$AG$3,0)),""))</f>
        <v/>
      </c>
      <c r="J16" s="38">
        <f>IF($A16="","",IFERROR(INDEX('الشهر'!$C$9:$AG$40,MATCH($A16,'الشهر'!$A$9:$A$40,0),MATCH(J$5,'الشهر'!$C$3:$AG$3,0)),""))</f>
        <v/>
      </c>
    </row>
    <row r="17" ht="22" customHeight="1">
      <c r="A17" s="8">
        <f>IFERROR(INDEX(Staff,MATCH($B$3&amp;"|"&amp;11,StaffKey,0)),"")</f>
        <v/>
      </c>
      <c r="B17" s="8">
        <f>IF($A17="","",IFERROR(INDEX(StaffRole,MATCH($A17,Staff,0)),""))</f>
        <v/>
      </c>
      <c r="C17" s="8">
        <f>IF($A17="","",IFERROR(INDEX(StaffPhone,MATCH($A17,Staff,0)),""))</f>
        <v/>
      </c>
      <c r="D17" s="38">
        <f>IF($A17="","",IFERROR(INDEX('الشهر'!$C$9:$AG$40,MATCH($A17,'الشهر'!$A$9:$A$40,0),MATCH(D$5,'الشهر'!$C$3:$AG$3,0)),""))</f>
        <v/>
      </c>
      <c r="E17" s="38">
        <f>IF($A17="","",IFERROR(INDEX('الشهر'!$C$9:$AG$40,MATCH($A17,'الشهر'!$A$9:$A$40,0),MATCH(E$5,'الشهر'!$C$3:$AG$3,0)),""))</f>
        <v/>
      </c>
      <c r="F17" s="38">
        <f>IF($A17="","",IFERROR(INDEX('الشهر'!$C$9:$AG$40,MATCH($A17,'الشهر'!$A$9:$A$40,0),MATCH(F$5,'الشهر'!$C$3:$AG$3,0)),""))</f>
        <v/>
      </c>
      <c r="G17" s="38">
        <f>IF($A17="","",IFERROR(INDEX('الشهر'!$C$9:$AG$40,MATCH($A17,'الشهر'!$A$9:$A$40,0),MATCH(G$5,'الشهر'!$C$3:$AG$3,0)),""))</f>
        <v/>
      </c>
      <c r="H17" s="38">
        <f>IF($A17="","",IFERROR(INDEX('الشهر'!$C$9:$AG$40,MATCH($A17,'الشهر'!$A$9:$A$40,0),MATCH(H$5,'الشهر'!$C$3:$AG$3,0)),""))</f>
        <v/>
      </c>
      <c r="I17" s="38">
        <f>IF($A17="","",IFERROR(INDEX('الشهر'!$C$9:$AG$40,MATCH($A17,'الشهر'!$A$9:$A$40,0),MATCH(I$5,'الشهر'!$C$3:$AG$3,0)),""))</f>
        <v/>
      </c>
      <c r="J17" s="38">
        <f>IF($A17="","",IFERROR(INDEX('الشهر'!$C$9:$AG$40,MATCH($A17,'الشهر'!$A$9:$A$40,0),MATCH(J$5,'الشهر'!$C$3:$AG$3,0)),""))</f>
        <v/>
      </c>
    </row>
    <row r="18" ht="22" customHeight="1">
      <c r="A18" s="8">
        <f>IFERROR(INDEX(Staff,MATCH($B$3&amp;"|"&amp;12,StaffKey,0)),"")</f>
        <v/>
      </c>
      <c r="B18" s="8">
        <f>IF($A18="","",IFERROR(INDEX(StaffRole,MATCH($A18,Staff,0)),""))</f>
        <v/>
      </c>
      <c r="C18" s="8">
        <f>IF($A18="","",IFERROR(INDEX(StaffPhone,MATCH($A18,Staff,0)),""))</f>
        <v/>
      </c>
      <c r="D18" s="38">
        <f>IF($A18="","",IFERROR(INDEX('الشهر'!$C$9:$AG$40,MATCH($A18,'الشهر'!$A$9:$A$40,0),MATCH(D$5,'الشهر'!$C$3:$AG$3,0)),""))</f>
        <v/>
      </c>
      <c r="E18" s="38">
        <f>IF($A18="","",IFERROR(INDEX('الشهر'!$C$9:$AG$40,MATCH($A18,'الشهر'!$A$9:$A$40,0),MATCH(E$5,'الشهر'!$C$3:$AG$3,0)),""))</f>
        <v/>
      </c>
      <c r="F18" s="38">
        <f>IF($A18="","",IFERROR(INDEX('الشهر'!$C$9:$AG$40,MATCH($A18,'الشهر'!$A$9:$A$40,0),MATCH(F$5,'الشهر'!$C$3:$AG$3,0)),""))</f>
        <v/>
      </c>
      <c r="G18" s="38">
        <f>IF($A18="","",IFERROR(INDEX('الشهر'!$C$9:$AG$40,MATCH($A18,'الشهر'!$A$9:$A$40,0),MATCH(G$5,'الشهر'!$C$3:$AG$3,0)),""))</f>
        <v/>
      </c>
      <c r="H18" s="38">
        <f>IF($A18="","",IFERROR(INDEX('الشهر'!$C$9:$AG$40,MATCH($A18,'الشهر'!$A$9:$A$40,0),MATCH(H$5,'الشهر'!$C$3:$AG$3,0)),""))</f>
        <v/>
      </c>
      <c r="I18" s="38">
        <f>IF($A18="","",IFERROR(INDEX('الشهر'!$C$9:$AG$40,MATCH($A18,'الشهر'!$A$9:$A$40,0),MATCH(I$5,'الشهر'!$C$3:$AG$3,0)),""))</f>
        <v/>
      </c>
      <c r="J18" s="38">
        <f>IF($A18="","",IFERROR(INDEX('الشهر'!$C$9:$AG$40,MATCH($A18,'الشهر'!$A$9:$A$40,0),MATCH(J$5,'الشهر'!$C$3:$AG$3,0)),""))</f>
        <v/>
      </c>
    </row>
    <row r="20">
      <c r="A20" s="3" t="inlineStr">
        <is>
          <t>الرموز</t>
        </is>
      </c>
      <c r="B20" s="18">
        <f>'الإعدادات'!E8</f>
        <v/>
      </c>
      <c r="C20" s="39">
        <f>'الإعدادات'!F8&amp;IF('الإعدادات'!G8="",""," "&amp;TEXT('الإعدادات'!G8,"hh:mm")&amp;"–"&amp;TEXT('الإعدادات'!H8,"hh:mm"))</f>
        <v/>
      </c>
      <c r="D20" s="19">
        <f>'الإعدادات'!E9</f>
        <v/>
      </c>
      <c r="E20" s="39">
        <f>'الإعدادات'!F9&amp;IF('الإعدادات'!G9="",""," "&amp;TEXT('الإعدادات'!G9,"hh:mm")&amp;"–"&amp;TEXT('الإعدادات'!H9,"hh:mm"))</f>
        <v/>
      </c>
      <c r="F20" s="20">
        <f>'الإعدادات'!E10</f>
        <v/>
      </c>
      <c r="G20" s="39">
        <f>'الإعدادات'!F10&amp;IF('الإعدادات'!G10="",""," "&amp;TEXT('الإعدادات'!G10,"hh:mm")&amp;"–"&amp;TEXT('الإعدادات'!H10,"hh:mm"))</f>
        <v/>
      </c>
      <c r="H20" s="21">
        <f>'الإعدادات'!E11</f>
        <v/>
      </c>
      <c r="I20" s="39">
        <f>'الإعدادات'!F11&amp;IF('الإعدادات'!G11="",""," "&amp;TEXT('الإعدادات'!G11,"hh:mm")&amp;"–"&amp;TEXT('الإعدادات'!H11,"hh:mm"))</f>
        <v/>
      </c>
      <c r="J20" s="22">
        <f>'الإعدادات'!E12</f>
        <v/>
      </c>
      <c r="K20" s="39">
        <f>'الإعدادات'!F12&amp;IF('الإعدادات'!G12="",""," "&amp;TEXT('الإعدادات'!G12,"hh:mm")&amp;"–"&amp;TEXT('الإعدادات'!H12,"hh:mm"))</f>
        <v/>
      </c>
    </row>
    <row r="22">
      <c r="A22" s="2" t="inlineStr">
        <is>
          <t>اختر الفرع واكتب أول يوم في الأسبوع، ثم اطبع (A4 أفقي). الورديات تُقرأ من ورقة «الشهر».</t>
        </is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1" formatRows="0" sort="0"/>
  <mergeCells count="5">
    <mergeCell ref="A5:A6"/>
    <mergeCell ref="B3:C3"/>
    <mergeCell ref="B5:B6"/>
    <mergeCell ref="E3:F3"/>
    <mergeCell ref="C5:C6"/>
  </mergeCells>
  <conditionalFormatting sqref="D7:J18">
    <cfRule type="expression" priority="1" dxfId="0">
      <formula>AND(D7&lt;&gt;"",D7=$B$20)</formula>
    </cfRule>
    <cfRule type="expression" priority="2" dxfId="1">
      <formula>AND(D7&lt;&gt;"",D7=$D$20)</formula>
    </cfRule>
    <cfRule type="expression" priority="3" dxfId="2">
      <formula>AND(D7&lt;&gt;"",D7=$F$20)</formula>
    </cfRule>
    <cfRule type="expression" priority="4" dxfId="3">
      <formula>AND(D7&lt;&gt;"",D7=$H$20)</formula>
    </cfRule>
    <cfRule type="expression" priority="5" dxfId="4">
      <formula>AND(D7&lt;&gt;"",D7=$J$20)</formula>
    </cfRule>
  </conditionalFormatting>
  <dataValidations count="1">
    <dataValidation sqref="B3" showDropDown="0" showInputMessage="0" showErrorMessage="0" allowBlank="1" errorTitle="قيمة غير صحيحة" error="اختر من القائمة." type="list">
      <formula1>=Branches</formula1>
    </dataValidation>
  </dataValidations>
  <pageMargins left="0.75" right="0.75" top="1" bottom="1" header="0.5" footer="0.5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Medicolize</dc:creator>
  <dc:title xmlns:dc="http://purl.org/dc/elements/1.1/">staff-roster-and-leave</dc:title>
  <dcterms:created xmlns:dcterms="http://purl.org/dc/terms/" xmlns:xsi="http://www.w3.org/2001/XMLSchema-instance" xsi:type="dcterms:W3CDTF">2026-10-05T11:09:31Z</dcterms:created>
  <dcterms:modified xmlns:dcterms="http://purl.org/dc/terms/" xmlns:xsi="http://www.w3.org/2001/XMLSchema-instance" xsi:type="dcterms:W3CDTF">2026-10-05T11:09:31Z</dcterms:modified>
</cp:coreProperties>
</file>