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By doctor" sheetId="4" state="visible" r:id="rId4"/>
    <sheet xmlns:r="http://schemas.openxmlformats.org/officeDocument/2006/relationships" name="By room" sheetId="5" state="visible" r:id="rId5"/>
    <sheet xmlns:r="http://schemas.openxmlformats.org/officeDocument/2006/relationships" name="By service" sheetId="6" state="visible" r:id="rId6"/>
    <sheet xmlns:r="http://schemas.openxmlformats.org/officeDocument/2006/relationships" name="By source" sheetId="7" state="visible" r:id="rId7"/>
    <sheet xmlns:r="http://schemas.openxmlformats.org/officeDocument/2006/relationships" name="Dashboard" sheetId="8" state="visible" r:id="rId8"/>
  </sheets>
  <definedNames>
    <definedName name="Branches">'Settings'!$A$10:$A$11</definedName>
    <definedName name="Rooms">'Settings'!$C$10:$C$39</definedName>
    <definedName name="Doctors">'Settings'!$F$10:$F$39</definedName>
    <definedName name="Services">'Settings'!$I$10:$I$39</definedName>
    <definedName name="Groups">'Settings'!$N$10:$N$13</definedName>
    <definedName name="Sources">'Settings'!$O$10:$O$14</definedName>
    <definedName name="Methods">'Settings'!$P$10:$P$14</definedName>
    <definedName name="PatientTypes">'Settings'!$Q$10:$Q$11</definedName>
    <definedName name="_xlnm._FilterDatabase" localSheetId="2" hidden="1">'Transactions'!$A$2:$R$2002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hh:mm"/>
    <numFmt numFmtId="166" formatCode="0.0%"/>
    <numFmt numFmtId="167" formatCode="mmm yyyy"/>
    <numFmt numFmtId="168" formatCode="#,##0.000000"/>
    <numFmt numFmtId="169" formatCode="dd m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7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8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4" fontId="2" fillId="4" borderId="1" applyAlignment="1" pivotButton="0" quotePrefix="0" xfId="9">
      <alignment horizontal="center" vertical="center" readingOrder="1"/>
    </xf>
    <xf numFmtId="167" fontId="2" fillId="4" borderId="1" applyAlignment="1" pivotButton="0" quotePrefix="0" xfId="12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164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7" fillId="0" borderId="2" applyAlignment="1" pivotButton="0" quotePrefix="0" xfId="14">
      <alignment horizontal="left" vertical="center" readingOrder="1"/>
    </xf>
    <xf numFmtId="3" fontId="2" fillId="4" borderId="1" applyAlignment="1" pivotButton="0" quotePrefix="0" xfId="9">
      <alignment horizontal="center" vertical="center" readingOrder="1"/>
    </xf>
    <xf numFmtId="3" fontId="3" fillId="4" borderId="1" applyAlignment="1" pivotButton="0" quotePrefix="0" xfId="9">
      <alignment horizontal="center" vertical="center" readingOrder="1"/>
    </xf>
    <xf numFmtId="3" fontId="3" fillId="4" borderId="1" applyAlignment="1" pivotButton="0" quotePrefix="0" xfId="10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  <xf numFmtId="168" fontId="2" fillId="4" borderId="1" applyAlignment="1" pivotButton="0" quotePrefix="0" xfId="9">
      <alignment horizontal="center" vertical="center" readingOrder="1"/>
    </xf>
    <xf numFmtId="167" fontId="1" fillId="2" borderId="1" applyAlignment="1" pivotButton="0" quotePrefix="0" xfId="1">
      <alignment horizontal="center" vertical="center" wrapText="1" readingOrder="1"/>
    </xf>
    <xf numFmtId="169" fontId="2" fillId="4" borderId="1" applyAlignment="1" pivotButton="0" quotePrefix="0" xfId="12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1"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Weekly revenue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'Dashboard'!$A$7:$A$20</f>
            </numRef>
          </cat>
          <val>
            <numRef>
              <f>'Dashboard'!$B$7:$B$20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services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'Dashboard'!$E$7:$E$16</f>
            </numRef>
          </cat>
          <val>
            <numRef>
              <f>'Dashboard'!$F$7:$F$16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per doctor hour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'Dashboard'!$A$24:$A$29</f>
            </numRef>
          </cat>
          <val>
            <numRef>
              <f>'Dashboard'!$B$24:$B$29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New and returning visits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'Dashboard'!F23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'Dashboard'!$E$24:$E$26</f>
            </numRef>
          </cat>
          <val>
            <numRef>
              <f>'Dashboard'!$F$24:$F$26</f>
            </numRef>
          </val>
        </ser>
        <ser>
          <idx val="1"/>
          <order val="1"/>
          <tx>
            <strRef>
              <f>'Dashboard'!G23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'Dashboard'!$E$24:$E$26</f>
            </numRef>
          </cat>
          <val>
            <numRef>
              <f>'Dashboard'!$G$24:$G$26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source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'Dashboard'!$E$29:$E$33</f>
            </numRef>
          </cat>
          <val>
            <numRef>
              <f>'Dashboard'!$F$29:$F$33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Discount rate by week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'Dashboard'!$A$7:$A$20</f>
            </numRef>
          </cat>
          <val>
            <numRef>
              <f>'Dashboard'!$C$7:$C$20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8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17</col>
      <colOff>0</colOff>
      <row>5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21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17</col>
      <colOff>0</colOff>
      <row>21</row>
      <rowOff>0</rowOff>
    </from>
    <ext cx="540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8</col>
      <colOff>0</colOff>
      <row>37</row>
      <rowOff>0</rowOff>
    </from>
    <ext cx="5400000" cy="270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17</col>
      <colOff>0</colOff>
      <row>37</row>
      <rowOff>0</rowOff>
    </from>
    <ext cx="5400000" cy="270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revenue-analysis" TargetMode="Externa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revenue-analysis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Q39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6" customWidth="1" min="4" max="4"/>
    <col width="3" customWidth="1" min="5" max="5"/>
    <col width="22" customWidth="1" min="6" max="6"/>
    <col width="12" customWidth="1" min="7" max="7"/>
    <col width="3" customWidth="1" min="8" max="8"/>
    <col width="24" customWidth="1" min="9" max="9"/>
    <col width="12" customWidth="1" min="10" max="10"/>
    <col width="10" customWidth="1" min="11" max="11"/>
    <col width="10" customWidth="1" min="12" max="12"/>
    <col width="3" customWidth="1" min="13" max="13"/>
    <col width="14" customWidth="1" min="14" max="14"/>
    <col width="14" customWidth="1" min="15" max="15"/>
    <col width="14" customWidth="1" min="16" max="16"/>
    <col width="12" customWidth="1" min="17" max="17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cells. The lists feed the dropdowns; the period sets what the analysis sheets show.</t>
        </is>
      </c>
    </row>
    <row r="3">
      <c r="A3" s="3" t="inlineStr">
        <is>
          <t>Clinic name</t>
        </is>
      </c>
      <c r="B3" s="4" t="inlineStr">
        <is>
          <t>Al Noor Medical Centre</t>
        </is>
      </c>
    </row>
    <row r="4">
      <c r="A4" s="3" t="inlineStr">
        <is>
          <t>Currency</t>
        </is>
      </c>
      <c r="B4" s="4" t="inlineStr">
        <is>
          <t>SAR</t>
        </is>
      </c>
    </row>
    <row r="5">
      <c r="A5" s="3" t="inlineStr">
        <is>
          <t>Analysis period: from</t>
        </is>
      </c>
      <c r="B5" s="5" t="n">
        <v>46204</v>
      </c>
    </row>
    <row r="6">
      <c r="A6" s="3" t="inlineStr">
        <is>
          <t>Analysis period: to</t>
        </is>
      </c>
      <c r="B6" s="5" t="n">
        <v>46295</v>
      </c>
    </row>
    <row r="7">
      <c r="A7" s="3" t="inlineStr">
        <is>
          <t>Days open per week</t>
        </is>
      </c>
      <c r="B7" s="6" t="n">
        <v>6</v>
      </c>
    </row>
    <row r="8">
      <c r="A8" s="3" t="inlineStr">
        <is>
          <t>Minutes available per room per day</t>
        </is>
      </c>
      <c r="B8" s="6" t="n">
        <v>480</v>
      </c>
    </row>
    <row r="9" ht="32" customHeight="1">
      <c r="A9" s="7" t="inlineStr">
        <is>
          <t>Branches</t>
        </is>
      </c>
      <c r="C9" s="7" t="inlineStr">
        <is>
          <t>Room</t>
        </is>
      </c>
      <c r="D9" s="7" t="inlineStr">
        <is>
          <t>Its branch</t>
        </is>
      </c>
      <c r="F9" s="7" t="inlineStr">
        <is>
          <t>Doctor</t>
        </is>
      </c>
      <c r="G9" s="7" t="inlineStr">
        <is>
          <t>Scheduled hours a week</t>
        </is>
      </c>
      <c r="I9" s="7" t="inlineStr">
        <is>
          <t>Service</t>
        </is>
      </c>
      <c r="J9" s="7" t="inlineStr">
        <is>
          <t>Group</t>
        </is>
      </c>
      <c r="K9" s="7" t="inlineStr">
        <is>
          <t>Price</t>
        </is>
      </c>
      <c r="L9" s="7" t="inlineStr">
        <is>
          <t>Minutes</t>
        </is>
      </c>
      <c r="N9" s="7" t="inlineStr">
        <is>
          <t>Groups</t>
        </is>
      </c>
      <c r="O9" s="7" t="inlineStr">
        <is>
          <t>Source</t>
        </is>
      </c>
      <c r="P9" s="7" t="inlineStr">
        <is>
          <t>Payment method</t>
        </is>
      </c>
      <c r="Q9" s="7" t="inlineStr">
        <is>
          <t>Patient type</t>
        </is>
      </c>
    </row>
    <row r="10">
      <c r="A10" s="4" t="inlineStr">
        <is>
          <t>Main branch</t>
        </is>
      </c>
      <c r="C10" s="4" t="inlineStr">
        <is>
          <t>Main 1</t>
        </is>
      </c>
      <c r="D10" s="4" t="inlineStr">
        <is>
          <t>Main branch</t>
        </is>
      </c>
      <c r="F10" s="4" t="inlineStr">
        <is>
          <t>Dr Sara Al Harbi</t>
        </is>
      </c>
      <c r="G10" s="6" t="n">
        <v>40</v>
      </c>
      <c r="I10" s="4" t="inlineStr">
        <is>
          <t>Specialist consultation</t>
        </is>
      </c>
      <c r="J10" s="4" t="inlineStr">
        <is>
          <t>Consultation</t>
        </is>
      </c>
      <c r="K10" s="8" t="n">
        <v>350</v>
      </c>
      <c r="L10" s="6" t="n">
        <v>20</v>
      </c>
      <c r="N10" s="4" t="inlineStr">
        <is>
          <t>Consultation</t>
        </is>
      </c>
      <c r="O10" s="4" t="inlineStr">
        <is>
          <t>Walk-in</t>
        </is>
      </c>
      <c r="P10" s="4" t="inlineStr">
        <is>
          <t>Cash</t>
        </is>
      </c>
      <c r="Q10" s="9" t="inlineStr">
        <is>
          <t>New</t>
        </is>
      </c>
    </row>
    <row r="11">
      <c r="A11" s="4" t="inlineStr">
        <is>
          <t>North branch</t>
        </is>
      </c>
      <c r="C11" s="4" t="inlineStr">
        <is>
          <t>Main 2</t>
        </is>
      </c>
      <c r="D11" s="4" t="inlineStr">
        <is>
          <t>Main branch</t>
        </is>
      </c>
      <c r="F11" s="4" t="inlineStr">
        <is>
          <t>Dr Ahmed Mansour</t>
        </is>
      </c>
      <c r="G11" s="6" t="n">
        <v>36</v>
      </c>
      <c r="I11" s="4" t="inlineStr">
        <is>
          <t>Follow-up visit</t>
        </is>
      </c>
      <c r="J11" s="4" t="inlineStr">
        <is>
          <t>Consultation</t>
        </is>
      </c>
      <c r="K11" s="8" t="n">
        <v>150</v>
      </c>
      <c r="L11" s="6" t="n">
        <v>15</v>
      </c>
      <c r="N11" s="4" t="inlineStr">
        <is>
          <t>Session</t>
        </is>
      </c>
      <c r="O11" s="4" t="inlineStr">
        <is>
          <t>Instagram</t>
        </is>
      </c>
      <c r="P11" s="4" t="inlineStr">
        <is>
          <t>Card</t>
        </is>
      </c>
      <c r="Q11" s="9" t="inlineStr">
        <is>
          <t>Returning</t>
        </is>
      </c>
    </row>
    <row r="12">
      <c r="A12" s="4" t="n"/>
      <c r="C12" s="4" t="inlineStr">
        <is>
          <t>Main 3</t>
        </is>
      </c>
      <c r="D12" s="4" t="inlineStr">
        <is>
          <t>Main branch</t>
        </is>
      </c>
      <c r="F12" s="4" t="inlineStr">
        <is>
          <t>Dr Layla Al Qahtani</t>
        </is>
      </c>
      <c r="G12" s="6" t="n">
        <v>30</v>
      </c>
      <c r="I12" s="4" t="inlineStr">
        <is>
          <t>Laser session, face</t>
        </is>
      </c>
      <c r="J12" s="4" t="inlineStr">
        <is>
          <t>Session</t>
        </is>
      </c>
      <c r="K12" s="8" t="n">
        <v>600</v>
      </c>
      <c r="L12" s="6" t="n">
        <v>30</v>
      </c>
      <c r="N12" s="4" t="inlineStr">
        <is>
          <t>Procedure</t>
        </is>
      </c>
      <c r="O12" s="4" t="inlineStr">
        <is>
          <t>Google</t>
        </is>
      </c>
      <c r="P12" s="4" t="inlineStr">
        <is>
          <t>Transfer</t>
        </is>
      </c>
      <c r="Q12" s="9" t="n"/>
    </row>
    <row r="13">
      <c r="A13" s="4" t="n"/>
      <c r="C13" s="4" t="inlineStr">
        <is>
          <t>Main 4</t>
        </is>
      </c>
      <c r="D13" s="4" t="inlineStr">
        <is>
          <t>Main branch</t>
        </is>
      </c>
      <c r="F13" s="4" t="inlineStr">
        <is>
          <t>Dr Mohamed Adel</t>
        </is>
      </c>
      <c r="G13" s="6" t="n">
        <v>40</v>
      </c>
      <c r="I13" s="4" t="inlineStr">
        <is>
          <t>Laser session, body</t>
        </is>
      </c>
      <c r="J13" s="4" t="inlineStr">
        <is>
          <t>Session</t>
        </is>
      </c>
      <c r="K13" s="8" t="n">
        <v>1200</v>
      </c>
      <c r="L13" s="6" t="n">
        <v>60</v>
      </c>
      <c r="N13" s="4" t="inlineStr">
        <is>
          <t>Product</t>
        </is>
      </c>
      <c r="O13" s="4" t="inlineStr">
        <is>
          <t>Referral</t>
        </is>
      </c>
      <c r="P13" s="4" t="inlineStr">
        <is>
          <t>Payment link</t>
        </is>
      </c>
      <c r="Q13" s="9" t="n"/>
    </row>
    <row r="14">
      <c r="A14" s="4" t="n"/>
      <c r="C14" s="4" t="inlineStr">
        <is>
          <t>North 1</t>
        </is>
      </c>
      <c r="D14" s="4" t="inlineStr">
        <is>
          <t>North branch</t>
        </is>
      </c>
      <c r="F14" s="4" t="inlineStr">
        <is>
          <t>Dr Noura Al Subaie</t>
        </is>
      </c>
      <c r="G14" s="6" t="n">
        <v>24</v>
      </c>
      <c r="I14" s="4" t="inlineStr">
        <is>
          <t>Physiotherapy session</t>
        </is>
      </c>
      <c r="J14" s="4" t="inlineStr">
        <is>
          <t>Session</t>
        </is>
      </c>
      <c r="K14" s="8" t="n">
        <v>300</v>
      </c>
      <c r="L14" s="6" t="n">
        <v>45</v>
      </c>
      <c r="N14" s="4" t="n"/>
      <c r="O14" s="4" t="inlineStr">
        <is>
          <t>WhatsApp</t>
        </is>
      </c>
      <c r="P14" s="4" t="inlineStr">
        <is>
          <t>Insurance</t>
        </is>
      </c>
      <c r="Q14" s="9" t="n"/>
    </row>
    <row r="15">
      <c r="A15" s="4" t="n"/>
      <c r="C15" s="4" t="inlineStr">
        <is>
          <t>North 2</t>
        </is>
      </c>
      <c r="D15" s="4" t="inlineStr">
        <is>
          <t>North branch</t>
        </is>
      </c>
      <c r="F15" s="4" t="inlineStr">
        <is>
          <t>Dr Khaled Youssef</t>
        </is>
      </c>
      <c r="G15" s="6" t="n">
        <v>32</v>
      </c>
      <c r="I15" s="4" t="inlineStr">
        <is>
          <t>Chemical peel</t>
        </is>
      </c>
      <c r="J15" s="4" t="inlineStr">
        <is>
          <t>Procedure</t>
        </is>
      </c>
      <c r="K15" s="8" t="n">
        <v>800</v>
      </c>
      <c r="L15" s="6" t="n">
        <v>40</v>
      </c>
      <c r="N15" s="4" t="n"/>
      <c r="O15" s="4" t="n"/>
      <c r="P15" s="4" t="n"/>
      <c r="Q15" s="9" t="n"/>
    </row>
    <row r="16">
      <c r="A16" s="4" t="n"/>
      <c r="C16" s="4" t="n"/>
      <c r="D16" s="4" t="n"/>
      <c r="F16" s="4" t="n"/>
      <c r="G16" s="6" t="n"/>
      <c r="I16" s="4" t="inlineStr">
        <is>
          <t>Filler injection</t>
        </is>
      </c>
      <c r="J16" s="4" t="inlineStr">
        <is>
          <t>Procedure</t>
        </is>
      </c>
      <c r="K16" s="8" t="n">
        <v>1800</v>
      </c>
      <c r="L16" s="6" t="n">
        <v>45</v>
      </c>
      <c r="N16" s="4" t="n"/>
      <c r="O16" s="4" t="n"/>
      <c r="P16" s="4" t="n"/>
      <c r="Q16" s="9" t="n"/>
    </row>
    <row r="17">
      <c r="A17" s="4" t="n"/>
      <c r="C17" s="4" t="n"/>
      <c r="D17" s="4" t="n"/>
      <c r="F17" s="4" t="n"/>
      <c r="G17" s="6" t="n"/>
      <c r="I17" s="4" t="inlineStr">
        <is>
          <t>Botulinum toxin</t>
        </is>
      </c>
      <c r="J17" s="4" t="inlineStr">
        <is>
          <t>Procedure</t>
        </is>
      </c>
      <c r="K17" s="8" t="n">
        <v>1500</v>
      </c>
      <c r="L17" s="6" t="n">
        <v>30</v>
      </c>
      <c r="N17" s="4" t="n"/>
      <c r="O17" s="4" t="n"/>
      <c r="P17" s="4" t="n"/>
      <c r="Q17" s="9" t="n"/>
    </row>
    <row r="18">
      <c r="A18" s="4" t="n"/>
      <c r="C18" s="4" t="n"/>
      <c r="D18" s="4" t="n"/>
      <c r="F18" s="4" t="n"/>
      <c r="G18" s="6" t="n"/>
      <c r="I18" s="4" t="inlineStr">
        <is>
          <t>Skin tag removal</t>
        </is>
      </c>
      <c r="J18" s="4" t="inlineStr">
        <is>
          <t>Procedure</t>
        </is>
      </c>
      <c r="K18" s="8" t="n">
        <v>500</v>
      </c>
      <c r="L18" s="6" t="n">
        <v>30</v>
      </c>
      <c r="N18" s="4" t="n"/>
      <c r="O18" s="4" t="n"/>
      <c r="P18" s="4" t="n"/>
      <c r="Q18" s="9" t="n"/>
    </row>
    <row r="19">
      <c r="A19" s="4" t="n"/>
      <c r="C19" s="4" t="n"/>
      <c r="D19" s="4" t="n"/>
      <c r="F19" s="4" t="n"/>
      <c r="G19" s="6" t="n"/>
      <c r="I19" s="4" t="inlineStr">
        <is>
          <t>Sunscreen cream</t>
        </is>
      </c>
      <c r="J19" s="4" t="inlineStr">
        <is>
          <t>Product</t>
        </is>
      </c>
      <c r="K19" s="8" t="n">
        <v>120</v>
      </c>
      <c r="L19" s="6" t="n">
        <v>0</v>
      </c>
      <c r="N19" s="4" t="n"/>
      <c r="O19" s="4" t="n"/>
      <c r="P19" s="4" t="n"/>
      <c r="Q19" s="9" t="n"/>
    </row>
    <row r="20">
      <c r="A20" s="4" t="n"/>
      <c r="C20" s="4" t="n"/>
      <c r="D20" s="4" t="n"/>
      <c r="F20" s="4" t="n"/>
      <c r="G20" s="6" t="n"/>
      <c r="I20" s="4" t="inlineStr">
        <is>
          <t>Vitamin C serum</t>
        </is>
      </c>
      <c r="J20" s="4" t="inlineStr">
        <is>
          <t>Product</t>
        </is>
      </c>
      <c r="K20" s="8" t="n">
        <v>220</v>
      </c>
      <c r="L20" s="6" t="n">
        <v>0</v>
      </c>
      <c r="N20" s="4" t="n"/>
      <c r="O20" s="4" t="n"/>
      <c r="P20" s="4" t="n"/>
      <c r="Q20" s="9" t="n"/>
    </row>
    <row r="21">
      <c r="A21" s="4" t="n"/>
      <c r="C21" s="4" t="n"/>
      <c r="D21" s="4" t="n"/>
      <c r="F21" s="4" t="n"/>
      <c r="G21" s="6" t="n"/>
      <c r="I21" s="4" t="inlineStr">
        <is>
          <t>Facial cleansing</t>
        </is>
      </c>
      <c r="J21" s="4" t="inlineStr">
        <is>
          <t>Session</t>
        </is>
      </c>
      <c r="K21" s="8" t="n">
        <v>400</v>
      </c>
      <c r="L21" s="6" t="n">
        <v>45</v>
      </c>
      <c r="N21" s="4" t="n"/>
      <c r="O21" s="4" t="n"/>
      <c r="P21" s="4" t="n"/>
      <c r="Q21" s="9" t="n"/>
    </row>
    <row r="22">
      <c r="A22" s="4" t="n"/>
      <c r="C22" s="4" t="n"/>
      <c r="D22" s="4" t="n"/>
      <c r="F22" s="4" t="n"/>
      <c r="G22" s="6" t="n"/>
      <c r="I22" s="4" t="n"/>
      <c r="J22" s="4" t="n"/>
      <c r="K22" s="8" t="n"/>
      <c r="L22" s="6" t="n"/>
      <c r="N22" s="4" t="n"/>
      <c r="O22" s="4" t="n"/>
      <c r="P22" s="4" t="n"/>
      <c r="Q22" s="9" t="n"/>
    </row>
    <row r="23">
      <c r="A23" s="4" t="n"/>
      <c r="C23" s="4" t="n"/>
      <c r="D23" s="4" t="n"/>
      <c r="F23" s="4" t="n"/>
      <c r="G23" s="6" t="n"/>
      <c r="I23" s="4" t="n"/>
      <c r="J23" s="4" t="n"/>
      <c r="K23" s="8" t="n"/>
      <c r="L23" s="6" t="n"/>
      <c r="N23" s="4" t="n"/>
      <c r="O23" s="4" t="n"/>
      <c r="P23" s="4" t="n"/>
      <c r="Q23" s="9" t="n"/>
    </row>
    <row r="24">
      <c r="A24" s="4" t="n"/>
      <c r="C24" s="4" t="n"/>
      <c r="D24" s="4" t="n"/>
      <c r="F24" s="4" t="n"/>
      <c r="G24" s="6" t="n"/>
      <c r="I24" s="4" t="n"/>
      <c r="J24" s="4" t="n"/>
      <c r="K24" s="8" t="n"/>
      <c r="L24" s="6" t="n"/>
      <c r="N24" s="4" t="n"/>
      <c r="O24" s="4" t="n"/>
      <c r="P24" s="4" t="n"/>
      <c r="Q24" s="9" t="n"/>
    </row>
    <row r="25">
      <c r="A25" s="4" t="n"/>
      <c r="C25" s="4" t="n"/>
      <c r="D25" s="4" t="n"/>
      <c r="F25" s="4" t="n"/>
      <c r="G25" s="6" t="n"/>
      <c r="I25" s="4" t="n"/>
      <c r="J25" s="4" t="n"/>
      <c r="K25" s="8" t="n"/>
      <c r="L25" s="6" t="n"/>
      <c r="N25" s="4" t="n"/>
      <c r="O25" s="4" t="n"/>
      <c r="P25" s="4" t="n"/>
      <c r="Q25" s="9" t="n"/>
    </row>
    <row r="26">
      <c r="A26" s="4" t="n"/>
      <c r="C26" s="4" t="n"/>
      <c r="D26" s="4" t="n"/>
      <c r="F26" s="4" t="n"/>
      <c r="G26" s="6" t="n"/>
      <c r="I26" s="4" t="n"/>
      <c r="J26" s="4" t="n"/>
      <c r="K26" s="8" t="n"/>
      <c r="L26" s="6" t="n"/>
      <c r="N26" s="4" t="n"/>
      <c r="O26" s="4" t="n"/>
      <c r="P26" s="4" t="n"/>
      <c r="Q26" s="9" t="n"/>
    </row>
    <row r="27">
      <c r="A27" s="4" t="n"/>
      <c r="C27" s="4" t="n"/>
      <c r="D27" s="4" t="n"/>
      <c r="F27" s="4" t="n"/>
      <c r="G27" s="6" t="n"/>
      <c r="I27" s="4" t="n"/>
      <c r="J27" s="4" t="n"/>
      <c r="K27" s="8" t="n"/>
      <c r="L27" s="6" t="n"/>
      <c r="N27" s="4" t="n"/>
      <c r="O27" s="4" t="n"/>
      <c r="P27" s="4" t="n"/>
      <c r="Q27" s="9" t="n"/>
    </row>
    <row r="28">
      <c r="A28" s="4" t="n"/>
      <c r="C28" s="4" t="n"/>
      <c r="D28" s="4" t="n"/>
      <c r="F28" s="4" t="n"/>
      <c r="G28" s="6" t="n"/>
      <c r="I28" s="4" t="n"/>
      <c r="J28" s="4" t="n"/>
      <c r="K28" s="8" t="n"/>
      <c r="L28" s="6" t="n"/>
      <c r="N28" s="4" t="n"/>
      <c r="O28" s="4" t="n"/>
      <c r="P28" s="4" t="n"/>
      <c r="Q28" s="9" t="n"/>
    </row>
    <row r="29">
      <c r="A29" s="4" t="n"/>
      <c r="C29" s="4" t="n"/>
      <c r="D29" s="4" t="n"/>
      <c r="F29" s="4" t="n"/>
      <c r="G29" s="6" t="n"/>
      <c r="I29" s="4" t="n"/>
      <c r="J29" s="4" t="n"/>
      <c r="K29" s="8" t="n"/>
      <c r="L29" s="6" t="n"/>
      <c r="N29" s="4" t="n"/>
      <c r="O29" s="4" t="n"/>
      <c r="P29" s="4" t="n"/>
      <c r="Q29" s="9" t="n"/>
    </row>
    <row r="30">
      <c r="A30" s="4" t="n"/>
      <c r="C30" s="4" t="n"/>
      <c r="D30" s="4" t="n"/>
      <c r="F30" s="4" t="n"/>
      <c r="G30" s="6" t="n"/>
      <c r="I30" s="4" t="n"/>
      <c r="J30" s="4" t="n"/>
      <c r="K30" s="8" t="n"/>
      <c r="L30" s="6" t="n"/>
      <c r="N30" s="4" t="n"/>
      <c r="O30" s="4" t="n"/>
      <c r="P30" s="4" t="n"/>
      <c r="Q30" s="9" t="n"/>
    </row>
    <row r="31">
      <c r="A31" s="4" t="n"/>
      <c r="C31" s="4" t="n"/>
      <c r="D31" s="4" t="n"/>
      <c r="F31" s="4" t="n"/>
      <c r="G31" s="6" t="n"/>
      <c r="I31" s="4" t="n"/>
      <c r="J31" s="4" t="n"/>
      <c r="K31" s="8" t="n"/>
      <c r="L31" s="6" t="n"/>
      <c r="N31" s="4" t="n"/>
      <c r="O31" s="4" t="n"/>
      <c r="P31" s="4" t="n"/>
      <c r="Q31" s="9" t="n"/>
    </row>
    <row r="32">
      <c r="A32" s="4" t="n"/>
      <c r="C32" s="4" t="n"/>
      <c r="D32" s="4" t="n"/>
      <c r="F32" s="4" t="n"/>
      <c r="G32" s="6" t="n"/>
      <c r="I32" s="4" t="n"/>
      <c r="J32" s="4" t="n"/>
      <c r="K32" s="8" t="n"/>
      <c r="L32" s="6" t="n"/>
      <c r="N32" s="4" t="n"/>
      <c r="O32" s="4" t="n"/>
      <c r="P32" s="4" t="n"/>
      <c r="Q32" s="9" t="n"/>
    </row>
    <row r="33">
      <c r="A33" s="4" t="n"/>
      <c r="C33" s="4" t="n"/>
      <c r="D33" s="4" t="n"/>
      <c r="F33" s="4" t="n"/>
      <c r="G33" s="6" t="n"/>
      <c r="I33" s="4" t="n"/>
      <c r="J33" s="4" t="n"/>
      <c r="K33" s="8" t="n"/>
      <c r="L33" s="6" t="n"/>
      <c r="N33" s="4" t="n"/>
      <c r="O33" s="4" t="n"/>
      <c r="P33" s="4" t="n"/>
      <c r="Q33" s="9" t="n"/>
    </row>
    <row r="34">
      <c r="A34" s="4" t="n"/>
      <c r="C34" s="4" t="n"/>
      <c r="D34" s="4" t="n"/>
      <c r="F34" s="4" t="n"/>
      <c r="G34" s="6" t="n"/>
      <c r="I34" s="4" t="n"/>
      <c r="J34" s="4" t="n"/>
      <c r="K34" s="8" t="n"/>
      <c r="L34" s="6" t="n"/>
      <c r="N34" s="4" t="n"/>
      <c r="O34" s="4" t="n"/>
      <c r="P34" s="4" t="n"/>
      <c r="Q34" s="9" t="n"/>
    </row>
    <row r="35">
      <c r="A35" s="4" t="n"/>
      <c r="C35" s="4" t="n"/>
      <c r="D35" s="4" t="n"/>
      <c r="F35" s="4" t="n"/>
      <c r="G35" s="6" t="n"/>
      <c r="I35" s="4" t="n"/>
      <c r="J35" s="4" t="n"/>
      <c r="K35" s="8" t="n"/>
      <c r="L35" s="6" t="n"/>
      <c r="N35" s="4" t="n"/>
      <c r="O35" s="4" t="n"/>
      <c r="P35" s="4" t="n"/>
      <c r="Q35" s="9" t="n"/>
    </row>
    <row r="36">
      <c r="A36" s="4" t="n"/>
      <c r="C36" s="4" t="n"/>
      <c r="D36" s="4" t="n"/>
      <c r="F36" s="4" t="n"/>
      <c r="G36" s="6" t="n"/>
      <c r="I36" s="4" t="n"/>
      <c r="J36" s="4" t="n"/>
      <c r="K36" s="8" t="n"/>
      <c r="L36" s="6" t="n"/>
      <c r="N36" s="4" t="n"/>
      <c r="O36" s="4" t="n"/>
      <c r="P36" s="4" t="n"/>
      <c r="Q36" s="9" t="n"/>
    </row>
    <row r="37">
      <c r="A37" s="4" t="n"/>
      <c r="C37" s="4" t="n"/>
      <c r="D37" s="4" t="n"/>
      <c r="F37" s="4" t="n"/>
      <c r="G37" s="6" t="n"/>
      <c r="I37" s="4" t="n"/>
      <c r="J37" s="4" t="n"/>
      <c r="K37" s="8" t="n"/>
      <c r="L37" s="6" t="n"/>
      <c r="N37" s="4" t="n"/>
      <c r="O37" s="4" t="n"/>
      <c r="P37" s="4" t="n"/>
      <c r="Q37" s="9" t="n"/>
    </row>
    <row r="38">
      <c r="A38" s="4" t="n"/>
      <c r="C38" s="4" t="n"/>
      <c r="D38" s="4" t="n"/>
      <c r="F38" s="4" t="n"/>
      <c r="G38" s="6" t="n"/>
      <c r="I38" s="4" t="n"/>
      <c r="J38" s="4" t="n"/>
      <c r="K38" s="8" t="n"/>
      <c r="L38" s="6" t="n"/>
      <c r="N38" s="4" t="n"/>
      <c r="O38" s="4" t="n"/>
      <c r="P38" s="4" t="n"/>
      <c r="Q38" s="9" t="n"/>
    </row>
    <row r="39">
      <c r="A39" s="4" t="n"/>
      <c r="C39" s="4" t="n"/>
      <c r="D39" s="4" t="n"/>
      <c r="F39" s="4" t="n"/>
      <c r="G39" s="6" t="n"/>
      <c r="I39" s="4" t="n"/>
      <c r="J39" s="4" t="n"/>
      <c r="K39" s="8" t="n"/>
      <c r="L39" s="6" t="n"/>
      <c r="N39" s="4" t="n"/>
      <c r="O39" s="4" t="n"/>
      <c r="P39" s="4" t="n"/>
      <c r="Q39" s="9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3">
    <dataValidation sqref="B4" showDropDown="0" showInputMessage="0" showErrorMessage="0" allowBlank="1" errorTitle="Not in the list" error="Pick from the list." type="list">
      <formula1>"SAR,EGP,KWD,AED,BHD"</formula1>
    </dataValidation>
    <dataValidation sqref="D10:D39" showDropDown="0" showInputMessage="0" showErrorMessage="0" allowBlank="1" errorTitle="Not in the list" error="Pick from the list." type="list">
      <formula1>=Branches</formula1>
    </dataValidation>
    <dataValidation sqref="J10:J39" showDropDown="0" showInputMessage="0" showErrorMessage="0" allowBlank="1" errorTitle="Not in the list" error="Pick from the list." type="list">
      <formula1>=Groups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10" t="inlineStr">
        <is>
          <t>Start on Settings: branches, rooms, doctors with their weekly hours, services with group, price and minutes, and the analysis period.</t>
        </is>
      </c>
    </row>
    <row r="4" ht="30" customHeight="1">
      <c r="A4" s="3" t="n">
        <v>2</v>
      </c>
      <c r="B4" s="10" t="inlineStr">
        <is>
          <t>On Transactions, one row per service given: date, branch, room, doctor, patient, source, service, quantity, price, discount and payment method.</t>
        </is>
      </c>
    </row>
    <row r="5" ht="30" customHeight="1">
      <c r="A5" s="3" t="n">
        <v>3</v>
      </c>
      <c r="B5" s="10" t="inlineStr">
        <is>
          <t>By doctor, By room, By service and By source read the transactions for the period set on Settings.</t>
        </is>
      </c>
    </row>
    <row r="6" ht="30" customHeight="1">
      <c r="A6" s="3" t="n">
        <v>4</v>
      </c>
      <c r="B6" s="10" t="inlineStr">
        <is>
          <t>Dashboard has six charts: weekly revenue, top 10 services, revenue per doctor hour, new and returning, sources and the discount rate.</t>
        </is>
      </c>
    </row>
    <row r="7" ht="30" customHeight="1">
      <c r="A7" s="3" t="n">
        <v>5</v>
      </c>
      <c r="B7" s="10" t="inlineStr">
        <is>
          <t>Grey cells are formulas, protected without a password. To lift it: Review → Unprotect sheet.</t>
        </is>
      </c>
    </row>
    <row r="9">
      <c r="B9" s="11" t="inlineStr">
        <is>
          <t>Clearing the sample data</t>
        </is>
      </c>
    </row>
    <row r="10" ht="30" customHeight="1">
      <c r="B10" s="10" t="inlineStr">
        <is>
          <t>Select these ranges and press Delete. Do not delete the rows themselves: the formulas in the grey columns stay and work with your numbers.</t>
        </is>
      </c>
    </row>
    <row r="11">
      <c r="B11" s="12" t="inlineStr">
        <is>
          <t>Transactions: A3:H1102</t>
        </is>
      </c>
    </row>
    <row r="12">
      <c r="B12" s="12" t="inlineStr">
        <is>
          <t>Transactions: J3:L1102</t>
        </is>
      </c>
    </row>
    <row r="13">
      <c r="B13" s="12" t="inlineStr">
        <is>
          <t>Transactions: O3:O1102</t>
        </is>
      </c>
    </row>
    <row r="15">
      <c r="B15" s="11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5"/>
  </mergeCells>
  <hyperlinks>
    <hyperlink xmlns:r="http://schemas.openxmlformats.org/officeDocument/2006/relationships" ref="B15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R2002"/>
  <sheetViews>
    <sheetView showGridLines="0" rightToLeft="0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19" customWidth="1" min="4" max="4"/>
    <col width="10" customWidth="1" min="5" max="5"/>
    <col width="10" customWidth="1" min="6" max="6"/>
    <col width="11" customWidth="1" min="7" max="7"/>
    <col width="22" customWidth="1" min="8" max="8"/>
    <col width="11" customWidth="1" min="9" max="9"/>
    <col width="6" customWidth="1" min="10" max="10"/>
    <col width="9" customWidth="1" min="11" max="11"/>
    <col width="9" customWidth="1" min="12" max="12"/>
    <col width="10" customWidth="1" min="13" max="13"/>
    <col width="10" customWidth="1" min="14" max="14"/>
    <col width="12" customWidth="1" min="15" max="15"/>
    <col width="10" customWidth="1" min="16" max="16"/>
    <col width="8" customWidth="1" min="17" max="17"/>
    <col width="11" customWidth="1" min="18" max="18"/>
  </cols>
  <sheetData>
    <row r="1" ht="22" customHeight="1">
      <c r="A1" s="13" t="inlineStr">
        <is>
          <t>Sample data: delete it and start. How to clear it is on the How to use sheet.</t>
        </is>
      </c>
    </row>
    <row r="2" ht="32" customHeight="1">
      <c r="A2" s="7" t="inlineStr">
        <is>
          <t>Date</t>
        </is>
      </c>
      <c r="B2" s="7" t="inlineStr">
        <is>
          <t>Branch</t>
        </is>
      </c>
      <c r="C2" s="7" t="inlineStr">
        <is>
          <t>Room</t>
        </is>
      </c>
      <c r="D2" s="7" t="inlineStr">
        <is>
          <t>Doctor</t>
        </is>
      </c>
      <c r="E2" s="7" t="inlineStr">
        <is>
          <t>Patient code</t>
        </is>
      </c>
      <c r="F2" s="7" t="inlineStr">
        <is>
          <t>New / returning</t>
        </is>
      </c>
      <c r="G2" s="7" t="inlineStr">
        <is>
          <t>Source</t>
        </is>
      </c>
      <c r="H2" s="7" t="inlineStr">
        <is>
          <t>Service</t>
        </is>
      </c>
      <c r="I2" s="7" t="inlineStr">
        <is>
          <t>Group</t>
        </is>
      </c>
      <c r="J2" s="7" t="inlineStr">
        <is>
          <t>Qty</t>
        </is>
      </c>
      <c r="K2" s="7" t="inlineStr">
        <is>
          <t>Price</t>
        </is>
      </c>
      <c r="L2" s="7" t="inlineStr">
        <is>
          <t>Discount</t>
        </is>
      </c>
      <c r="M2" s="7" t="inlineStr">
        <is>
          <t>Gross</t>
        </is>
      </c>
      <c r="N2" s="7" t="inlineStr">
        <is>
          <t>Net</t>
        </is>
      </c>
      <c r="O2" s="7" t="inlineStr">
        <is>
          <t>Payment method</t>
        </is>
      </c>
      <c r="P2" s="7" t="inlineStr">
        <is>
          <t>Month</t>
        </is>
      </c>
      <c r="Q2" s="7" t="inlineStr">
        <is>
          <t>Minutes</t>
        </is>
      </c>
      <c r="R2" s="7" t="inlineStr">
        <is>
          <t>Week of</t>
        </is>
      </c>
    </row>
    <row r="3">
      <c r="A3" s="5" t="n">
        <v>46204</v>
      </c>
      <c r="B3" s="4" t="inlineStr">
        <is>
          <t>Main branch</t>
        </is>
      </c>
      <c r="C3" s="4" t="inlineStr">
        <is>
          <t>Main 2</t>
        </is>
      </c>
      <c r="D3" s="4" t="inlineStr">
        <is>
          <t>Dr Noura Al Subaie</t>
        </is>
      </c>
      <c r="E3" s="4" t="inlineStr">
        <is>
          <t>P-3306</t>
        </is>
      </c>
      <c r="F3" s="4" t="inlineStr">
        <is>
          <t>Returning</t>
        </is>
      </c>
      <c r="G3" s="4" t="inlineStr">
        <is>
          <t>Referral</t>
        </is>
      </c>
      <c r="H3" s="4" t="inlineStr">
        <is>
          <t>Follow-up visit</t>
        </is>
      </c>
      <c r="I3" s="9">
        <f>IF($H3="","",IFERROR(INDEX('Settings'!$J$10:$J$39,MATCH($H3,'Settings'!$I$10:$I$39,0)),""))</f>
        <v/>
      </c>
      <c r="J3" s="6" t="n">
        <v>1</v>
      </c>
      <c r="K3" s="8" t="n">
        <v>150</v>
      </c>
      <c r="L3" s="8" t="n"/>
      <c r="M3" s="14">
        <f>IF($A3="","",$J3*$K3)</f>
        <v/>
      </c>
      <c r="N3" s="14">
        <f>IF($A3="","",$M3-$L3)</f>
        <v/>
      </c>
      <c r="O3" s="4" t="inlineStr">
        <is>
          <t>Card</t>
        </is>
      </c>
      <c r="P3" s="15">
        <f>IF($A3="","",DATE(YEAR($A3),MONTH($A3),1))</f>
        <v/>
      </c>
      <c r="Q3" s="16">
        <f>IF($H3="","",$J3*IFERROR(INDEX('Settings'!$L$10:$L$39,MATCH($H3,'Settings'!$I$10:$I$39,0)),0))</f>
        <v/>
      </c>
      <c r="R3" s="17">
        <f>IF($A3="","",$A3-WEEKDAY($A3,2)+1)</f>
        <v/>
      </c>
    </row>
    <row r="4">
      <c r="A4" s="5" t="n">
        <v>46204</v>
      </c>
      <c r="B4" s="4" t="inlineStr">
        <is>
          <t>Main branch</t>
        </is>
      </c>
      <c r="C4" s="4" t="inlineStr">
        <is>
          <t>Main 3</t>
        </is>
      </c>
      <c r="D4" s="4" t="inlineStr">
        <is>
          <t>Dr Sara Al Harbi</t>
        </is>
      </c>
      <c r="E4" s="4" t="inlineStr">
        <is>
          <t>P-2123</t>
        </is>
      </c>
      <c r="F4" s="4" t="inlineStr">
        <is>
          <t>Returning</t>
        </is>
      </c>
      <c r="G4" s="4" t="inlineStr">
        <is>
          <t>Instagram</t>
        </is>
      </c>
      <c r="H4" s="4" t="inlineStr">
        <is>
          <t>Specialist consultation</t>
        </is>
      </c>
      <c r="I4" s="9">
        <f>IF($H4="","",IFERROR(INDEX('Settings'!$J$10:$J$39,MATCH($H4,'Settings'!$I$10:$I$39,0)),""))</f>
        <v/>
      </c>
      <c r="J4" s="6" t="n">
        <v>1</v>
      </c>
      <c r="K4" s="8" t="n">
        <v>350</v>
      </c>
      <c r="L4" s="8" t="n"/>
      <c r="M4" s="14">
        <f>IF($A4="","",$J4*$K4)</f>
        <v/>
      </c>
      <c r="N4" s="14">
        <f>IF($A4="","",$M4-$L4)</f>
        <v/>
      </c>
      <c r="O4" s="4" t="inlineStr">
        <is>
          <t>Cash</t>
        </is>
      </c>
      <c r="P4" s="15">
        <f>IF($A4="","",DATE(YEAR($A4),MONTH($A4),1))</f>
        <v/>
      </c>
      <c r="Q4" s="16">
        <f>IF($H4="","",$J4*IFERROR(INDEX('Settings'!$L$10:$L$39,MATCH($H4,'Settings'!$I$10:$I$39,0)),0))</f>
        <v/>
      </c>
      <c r="R4" s="17">
        <f>IF($A4="","",$A4-WEEKDAY($A4,2)+1)</f>
        <v/>
      </c>
    </row>
    <row r="5">
      <c r="A5" s="5" t="n">
        <v>46204</v>
      </c>
      <c r="B5" s="4" t="inlineStr">
        <is>
          <t>Main branch</t>
        </is>
      </c>
      <c r="C5" s="4" t="inlineStr">
        <is>
          <t>Main 4</t>
        </is>
      </c>
      <c r="D5" s="4" t="inlineStr">
        <is>
          <t>Dr Sara Al Harbi</t>
        </is>
      </c>
      <c r="E5" s="4" t="inlineStr">
        <is>
          <t>P-2715</t>
        </is>
      </c>
      <c r="F5" s="4" t="inlineStr">
        <is>
          <t>Returning</t>
        </is>
      </c>
      <c r="G5" s="4" t="inlineStr">
        <is>
          <t>Walk-in</t>
        </is>
      </c>
      <c r="H5" s="4" t="inlineStr">
        <is>
          <t>Filler injection</t>
        </is>
      </c>
      <c r="I5" s="9">
        <f>IF($H5="","",IFERROR(INDEX('Settings'!$J$10:$J$39,MATCH($H5,'Settings'!$I$10:$I$39,0)),""))</f>
        <v/>
      </c>
      <c r="J5" s="6" t="n">
        <v>1</v>
      </c>
      <c r="K5" s="8" t="n">
        <v>1800</v>
      </c>
      <c r="L5" s="8" t="n"/>
      <c r="M5" s="14">
        <f>IF($A5="","",$J5*$K5)</f>
        <v/>
      </c>
      <c r="N5" s="14">
        <f>IF($A5="","",$M5-$L5)</f>
        <v/>
      </c>
      <c r="O5" s="4" t="inlineStr">
        <is>
          <t>Card</t>
        </is>
      </c>
      <c r="P5" s="15">
        <f>IF($A5="","",DATE(YEAR($A5),MONTH($A5),1))</f>
        <v/>
      </c>
      <c r="Q5" s="16">
        <f>IF($H5="","",$J5*IFERROR(INDEX('Settings'!$L$10:$L$39,MATCH($H5,'Settings'!$I$10:$I$39,0)),0))</f>
        <v/>
      </c>
      <c r="R5" s="17">
        <f>IF($A5="","",$A5-WEEKDAY($A5,2)+1)</f>
        <v/>
      </c>
    </row>
    <row r="6">
      <c r="A6" s="5" t="n">
        <v>46204</v>
      </c>
      <c r="B6" s="4" t="inlineStr">
        <is>
          <t>North branch</t>
        </is>
      </c>
      <c r="C6" s="4" t="inlineStr">
        <is>
          <t>North 1</t>
        </is>
      </c>
      <c r="D6" s="4" t="inlineStr">
        <is>
          <t>Dr Khaled Youssef</t>
        </is>
      </c>
      <c r="E6" s="4" t="inlineStr">
        <is>
          <t>P-3060</t>
        </is>
      </c>
      <c r="F6" s="4" t="inlineStr">
        <is>
          <t>New</t>
        </is>
      </c>
      <c r="G6" s="4" t="inlineStr">
        <is>
          <t>Walk-in</t>
        </is>
      </c>
      <c r="H6" s="4" t="inlineStr">
        <is>
          <t>Chemical peel</t>
        </is>
      </c>
      <c r="I6" s="9">
        <f>IF($H6="","",IFERROR(INDEX('Settings'!$J$10:$J$39,MATCH($H6,'Settings'!$I$10:$I$39,0)),""))</f>
        <v/>
      </c>
      <c r="J6" s="6" t="n">
        <v>1</v>
      </c>
      <c r="K6" s="8" t="n">
        <v>800</v>
      </c>
      <c r="L6" s="8" t="n"/>
      <c r="M6" s="14">
        <f>IF($A6="","",$J6*$K6)</f>
        <v/>
      </c>
      <c r="N6" s="14">
        <f>IF($A6="","",$M6-$L6)</f>
        <v/>
      </c>
      <c r="O6" s="4" t="inlineStr">
        <is>
          <t>Cash</t>
        </is>
      </c>
      <c r="P6" s="15">
        <f>IF($A6="","",DATE(YEAR($A6),MONTH($A6),1))</f>
        <v/>
      </c>
      <c r="Q6" s="16">
        <f>IF($H6="","",$J6*IFERROR(INDEX('Settings'!$L$10:$L$39,MATCH($H6,'Settings'!$I$10:$I$39,0)),0))</f>
        <v/>
      </c>
      <c r="R6" s="17">
        <f>IF($A6="","",$A6-WEEKDAY($A6,2)+1)</f>
        <v/>
      </c>
    </row>
    <row r="7">
      <c r="A7" s="5" t="n">
        <v>46204</v>
      </c>
      <c r="B7" s="4" t="inlineStr">
        <is>
          <t>North branch</t>
        </is>
      </c>
      <c r="C7" s="4" t="inlineStr">
        <is>
          <t>North 1</t>
        </is>
      </c>
      <c r="D7" s="4" t="inlineStr">
        <is>
          <t>Dr Mohamed Adel</t>
        </is>
      </c>
      <c r="E7" s="4" t="inlineStr">
        <is>
          <t>P-2661</t>
        </is>
      </c>
      <c r="F7" s="4" t="inlineStr">
        <is>
          <t>Returning</t>
        </is>
      </c>
      <c r="G7" s="4" t="inlineStr">
        <is>
          <t>Google</t>
        </is>
      </c>
      <c r="H7" s="4" t="inlineStr">
        <is>
          <t>Laser session, face</t>
        </is>
      </c>
      <c r="I7" s="9">
        <f>IF($H7="","",IFERROR(INDEX('Settings'!$J$10:$J$39,MATCH($H7,'Settings'!$I$10:$I$39,0)),""))</f>
        <v/>
      </c>
      <c r="J7" s="6" t="n">
        <v>1</v>
      </c>
      <c r="K7" s="8" t="n">
        <v>600</v>
      </c>
      <c r="L7" s="8" t="n">
        <v>30</v>
      </c>
      <c r="M7" s="14">
        <f>IF($A7="","",$J7*$K7)</f>
        <v/>
      </c>
      <c r="N7" s="14">
        <f>IF($A7="","",$M7-$L7)</f>
        <v/>
      </c>
      <c r="O7" s="4" t="inlineStr">
        <is>
          <t>Card</t>
        </is>
      </c>
      <c r="P7" s="15">
        <f>IF($A7="","",DATE(YEAR($A7),MONTH($A7),1))</f>
        <v/>
      </c>
      <c r="Q7" s="16">
        <f>IF($H7="","",$J7*IFERROR(INDEX('Settings'!$L$10:$L$39,MATCH($H7,'Settings'!$I$10:$I$39,0)),0))</f>
        <v/>
      </c>
      <c r="R7" s="17">
        <f>IF($A7="","",$A7-WEEKDAY($A7,2)+1)</f>
        <v/>
      </c>
    </row>
    <row r="8">
      <c r="A8" s="5" t="n">
        <v>46204</v>
      </c>
      <c r="B8" s="4" t="inlineStr">
        <is>
          <t>North branch</t>
        </is>
      </c>
      <c r="C8" s="4" t="inlineStr">
        <is>
          <t>North 2</t>
        </is>
      </c>
      <c r="D8" s="4" t="inlineStr">
        <is>
          <t>Dr Layla Al Qahtani</t>
        </is>
      </c>
      <c r="E8" s="4" t="inlineStr">
        <is>
          <t>P-2966</t>
        </is>
      </c>
      <c r="F8" s="4" t="inlineStr">
        <is>
          <t>New</t>
        </is>
      </c>
      <c r="G8" s="4" t="inlineStr">
        <is>
          <t>Instagram</t>
        </is>
      </c>
      <c r="H8" s="4" t="inlineStr">
        <is>
          <t>Follow-up visit</t>
        </is>
      </c>
      <c r="I8" s="9">
        <f>IF($H8="","",IFERROR(INDEX('Settings'!$J$10:$J$39,MATCH($H8,'Settings'!$I$10:$I$39,0)),""))</f>
        <v/>
      </c>
      <c r="J8" s="6" t="n">
        <v>1</v>
      </c>
      <c r="K8" s="8" t="n">
        <v>150</v>
      </c>
      <c r="L8" s="8" t="n"/>
      <c r="M8" s="14">
        <f>IF($A8="","",$J8*$K8)</f>
        <v/>
      </c>
      <c r="N8" s="14">
        <f>IF($A8="","",$M8-$L8)</f>
        <v/>
      </c>
      <c r="O8" s="4" t="inlineStr">
        <is>
          <t>Card</t>
        </is>
      </c>
      <c r="P8" s="15">
        <f>IF($A8="","",DATE(YEAR($A8),MONTH($A8),1))</f>
        <v/>
      </c>
      <c r="Q8" s="16">
        <f>IF($H8="","",$J8*IFERROR(INDEX('Settings'!$L$10:$L$39,MATCH($H8,'Settings'!$I$10:$I$39,0)),0))</f>
        <v/>
      </c>
      <c r="R8" s="17">
        <f>IF($A8="","",$A8-WEEKDAY($A8,2)+1)</f>
        <v/>
      </c>
    </row>
    <row r="9">
      <c r="A9" s="5" t="n">
        <v>46204</v>
      </c>
      <c r="B9" s="4" t="inlineStr">
        <is>
          <t>North branch</t>
        </is>
      </c>
      <c r="C9" s="4" t="inlineStr">
        <is>
          <t>North 2</t>
        </is>
      </c>
      <c r="D9" s="4" t="inlineStr">
        <is>
          <t>Dr Layla Al Qahtani</t>
        </is>
      </c>
      <c r="E9" s="4" t="inlineStr">
        <is>
          <t>P-2368</t>
        </is>
      </c>
      <c r="F9" s="4" t="inlineStr">
        <is>
          <t>New</t>
        </is>
      </c>
      <c r="G9" s="4" t="inlineStr">
        <is>
          <t>Google</t>
        </is>
      </c>
      <c r="H9" s="4" t="inlineStr">
        <is>
          <t>Laser session, face</t>
        </is>
      </c>
      <c r="I9" s="9">
        <f>IF($H9="","",IFERROR(INDEX('Settings'!$J$10:$J$39,MATCH($H9,'Settings'!$I$10:$I$39,0)),""))</f>
        <v/>
      </c>
      <c r="J9" s="6" t="n">
        <v>1</v>
      </c>
      <c r="K9" s="8" t="n">
        <v>600</v>
      </c>
      <c r="L9" s="8" t="n"/>
      <c r="M9" s="14">
        <f>IF($A9="","",$J9*$K9)</f>
        <v/>
      </c>
      <c r="N9" s="14">
        <f>IF($A9="","",$M9-$L9)</f>
        <v/>
      </c>
      <c r="O9" s="4" t="inlineStr">
        <is>
          <t>Insurance</t>
        </is>
      </c>
      <c r="P9" s="15">
        <f>IF($A9="","",DATE(YEAR($A9),MONTH($A9),1))</f>
        <v/>
      </c>
      <c r="Q9" s="16">
        <f>IF($H9="","",$J9*IFERROR(INDEX('Settings'!$L$10:$L$39,MATCH($H9,'Settings'!$I$10:$I$39,0)),0))</f>
        <v/>
      </c>
      <c r="R9" s="17">
        <f>IF($A9="","",$A9-WEEKDAY($A9,2)+1)</f>
        <v/>
      </c>
    </row>
    <row r="10">
      <c r="A10" s="5" t="n">
        <v>46204</v>
      </c>
      <c r="B10" s="4" t="inlineStr">
        <is>
          <t>North branch</t>
        </is>
      </c>
      <c r="C10" s="4" t="inlineStr">
        <is>
          <t>North 2</t>
        </is>
      </c>
      <c r="D10" s="4" t="inlineStr">
        <is>
          <t>Dr Khaled Youssef</t>
        </is>
      </c>
      <c r="E10" s="4" t="inlineStr">
        <is>
          <t>P-2801</t>
        </is>
      </c>
      <c r="F10" s="4" t="inlineStr">
        <is>
          <t>Returning</t>
        </is>
      </c>
      <c r="G10" s="4" t="inlineStr">
        <is>
          <t>Google</t>
        </is>
      </c>
      <c r="H10" s="4" t="inlineStr">
        <is>
          <t>Skin tag removal</t>
        </is>
      </c>
      <c r="I10" s="9">
        <f>IF($H10="","",IFERROR(INDEX('Settings'!$J$10:$J$39,MATCH($H10,'Settings'!$I$10:$I$39,0)),""))</f>
        <v/>
      </c>
      <c r="J10" s="6" t="n">
        <v>1</v>
      </c>
      <c r="K10" s="8" t="n">
        <v>500</v>
      </c>
      <c r="L10" s="8" t="n"/>
      <c r="M10" s="14">
        <f>IF($A10="","",$J10*$K10)</f>
        <v/>
      </c>
      <c r="N10" s="14">
        <f>IF($A10="","",$M10-$L10)</f>
        <v/>
      </c>
      <c r="O10" s="4" t="inlineStr">
        <is>
          <t>Card</t>
        </is>
      </c>
      <c r="P10" s="15">
        <f>IF($A10="","",DATE(YEAR($A10),MONTH($A10),1))</f>
        <v/>
      </c>
      <c r="Q10" s="16">
        <f>IF($H10="","",$J10*IFERROR(INDEX('Settings'!$L$10:$L$39,MATCH($H10,'Settings'!$I$10:$I$39,0)),0))</f>
        <v/>
      </c>
      <c r="R10" s="17">
        <f>IF($A10="","",$A10-WEEKDAY($A10,2)+1)</f>
        <v/>
      </c>
    </row>
    <row r="11">
      <c r="A11" s="5" t="n">
        <v>46205</v>
      </c>
      <c r="B11" s="4" t="inlineStr">
        <is>
          <t>Main branch</t>
        </is>
      </c>
      <c r="C11" s="4" t="inlineStr">
        <is>
          <t>Main 2</t>
        </is>
      </c>
      <c r="D11" s="4" t="inlineStr">
        <is>
          <t>Dr Sara Al Harbi</t>
        </is>
      </c>
      <c r="E11" s="4" t="inlineStr">
        <is>
          <t>P-3053</t>
        </is>
      </c>
      <c r="F11" s="4" t="inlineStr">
        <is>
          <t>Returning</t>
        </is>
      </c>
      <c r="G11" s="4" t="inlineStr">
        <is>
          <t>Walk-in</t>
        </is>
      </c>
      <c r="H11" s="4" t="inlineStr">
        <is>
          <t>Specialist consultation</t>
        </is>
      </c>
      <c r="I11" s="9">
        <f>IF($H11="","",IFERROR(INDEX('Settings'!$J$10:$J$39,MATCH($H11,'Settings'!$I$10:$I$39,0)),""))</f>
        <v/>
      </c>
      <c r="J11" s="6" t="n">
        <v>1</v>
      </c>
      <c r="K11" s="8" t="n">
        <v>350</v>
      </c>
      <c r="L11" s="8" t="n"/>
      <c r="M11" s="14">
        <f>IF($A11="","",$J11*$K11)</f>
        <v/>
      </c>
      <c r="N11" s="14">
        <f>IF($A11="","",$M11-$L11)</f>
        <v/>
      </c>
      <c r="O11" s="4" t="inlineStr">
        <is>
          <t>Cash</t>
        </is>
      </c>
      <c r="P11" s="15">
        <f>IF($A11="","",DATE(YEAR($A11),MONTH($A11),1))</f>
        <v/>
      </c>
      <c r="Q11" s="16">
        <f>IF($H11="","",$J11*IFERROR(INDEX('Settings'!$L$10:$L$39,MATCH($H11,'Settings'!$I$10:$I$39,0)),0))</f>
        <v/>
      </c>
      <c r="R11" s="17">
        <f>IF($A11="","",$A11-WEEKDAY($A11,2)+1)</f>
        <v/>
      </c>
    </row>
    <row r="12">
      <c r="A12" s="5" t="n">
        <v>46205</v>
      </c>
      <c r="B12" s="4" t="inlineStr">
        <is>
          <t>Main branch</t>
        </is>
      </c>
      <c r="C12" s="4" t="inlineStr">
        <is>
          <t>Main 2</t>
        </is>
      </c>
      <c r="D12" s="4" t="inlineStr">
        <is>
          <t>Dr Ahmed Mansour</t>
        </is>
      </c>
      <c r="E12" s="4" t="inlineStr">
        <is>
          <t>P-2210</t>
        </is>
      </c>
      <c r="F12" s="4" t="inlineStr">
        <is>
          <t>Returning</t>
        </is>
      </c>
      <c r="G12" s="4" t="inlineStr">
        <is>
          <t>Referral</t>
        </is>
      </c>
      <c r="H12" s="4" t="inlineStr">
        <is>
          <t>Facial cleansing</t>
        </is>
      </c>
      <c r="I12" s="9">
        <f>IF($H12="","",IFERROR(INDEX('Settings'!$J$10:$J$39,MATCH($H12,'Settings'!$I$10:$I$39,0)),""))</f>
        <v/>
      </c>
      <c r="J12" s="6" t="n">
        <v>1</v>
      </c>
      <c r="K12" s="8" t="n">
        <v>400</v>
      </c>
      <c r="L12" s="8" t="n"/>
      <c r="M12" s="14">
        <f>IF($A12="","",$J12*$K12)</f>
        <v/>
      </c>
      <c r="N12" s="14">
        <f>IF($A12="","",$M12-$L12)</f>
        <v/>
      </c>
      <c r="O12" s="4" t="inlineStr">
        <is>
          <t>Card</t>
        </is>
      </c>
      <c r="P12" s="15">
        <f>IF($A12="","",DATE(YEAR($A12),MONTH($A12),1))</f>
        <v/>
      </c>
      <c r="Q12" s="16">
        <f>IF($H12="","",$J12*IFERROR(INDEX('Settings'!$L$10:$L$39,MATCH($H12,'Settings'!$I$10:$I$39,0)),0))</f>
        <v/>
      </c>
      <c r="R12" s="17">
        <f>IF($A12="","",$A12-WEEKDAY($A12,2)+1)</f>
        <v/>
      </c>
    </row>
    <row r="13">
      <c r="A13" s="5" t="n">
        <v>46205</v>
      </c>
      <c r="B13" s="4" t="inlineStr">
        <is>
          <t>Main branch</t>
        </is>
      </c>
      <c r="C13" s="4" t="inlineStr">
        <is>
          <t>Main 2</t>
        </is>
      </c>
      <c r="D13" s="4" t="inlineStr">
        <is>
          <t>Dr Ahmed Mansour</t>
        </is>
      </c>
      <c r="E13" s="4" t="inlineStr">
        <is>
          <t>P-2228</t>
        </is>
      </c>
      <c r="F13" s="4" t="inlineStr">
        <is>
          <t>New</t>
        </is>
      </c>
      <c r="G13" s="4" t="inlineStr">
        <is>
          <t>Instagram</t>
        </is>
      </c>
      <c r="H13" s="4" t="inlineStr">
        <is>
          <t>Facial cleansing</t>
        </is>
      </c>
      <c r="I13" s="9">
        <f>IF($H13="","",IFERROR(INDEX('Settings'!$J$10:$J$39,MATCH($H13,'Settings'!$I$10:$I$39,0)),""))</f>
        <v/>
      </c>
      <c r="J13" s="6" t="n">
        <v>1</v>
      </c>
      <c r="K13" s="8" t="n">
        <v>400</v>
      </c>
      <c r="L13" s="8" t="n"/>
      <c r="M13" s="14">
        <f>IF($A13="","",$J13*$K13)</f>
        <v/>
      </c>
      <c r="N13" s="14">
        <f>IF($A13="","",$M13-$L13)</f>
        <v/>
      </c>
      <c r="O13" s="4" t="inlineStr">
        <is>
          <t>Cash</t>
        </is>
      </c>
      <c r="P13" s="15">
        <f>IF($A13="","",DATE(YEAR($A13),MONTH($A13),1))</f>
        <v/>
      </c>
      <c r="Q13" s="16">
        <f>IF($H13="","",$J13*IFERROR(INDEX('Settings'!$L$10:$L$39,MATCH($H13,'Settings'!$I$10:$I$39,0)),0))</f>
        <v/>
      </c>
      <c r="R13" s="17">
        <f>IF($A13="","",$A13-WEEKDAY($A13,2)+1)</f>
        <v/>
      </c>
    </row>
    <row r="14">
      <c r="A14" s="5" t="n">
        <v>46205</v>
      </c>
      <c r="B14" s="4" t="inlineStr">
        <is>
          <t>Main branch</t>
        </is>
      </c>
      <c r="C14" s="4" t="inlineStr">
        <is>
          <t>Main 3</t>
        </is>
      </c>
      <c r="D14" s="4" t="inlineStr">
        <is>
          <t>Dr Ahmed Mansour</t>
        </is>
      </c>
      <c r="E14" s="4" t="inlineStr">
        <is>
          <t>P-2399</t>
        </is>
      </c>
      <c r="F14" s="4" t="inlineStr">
        <is>
          <t>Returning</t>
        </is>
      </c>
      <c r="G14" s="4" t="inlineStr">
        <is>
          <t>Instagram</t>
        </is>
      </c>
      <c r="H14" s="4" t="inlineStr">
        <is>
          <t>Filler injection</t>
        </is>
      </c>
      <c r="I14" s="9">
        <f>IF($H14="","",IFERROR(INDEX('Settings'!$J$10:$J$39,MATCH($H14,'Settings'!$I$10:$I$39,0)),""))</f>
        <v/>
      </c>
      <c r="J14" s="6" t="n">
        <v>1</v>
      </c>
      <c r="K14" s="8" t="n">
        <v>1800</v>
      </c>
      <c r="L14" s="8" t="n"/>
      <c r="M14" s="14">
        <f>IF($A14="","",$J14*$K14)</f>
        <v/>
      </c>
      <c r="N14" s="14">
        <f>IF($A14="","",$M14-$L14)</f>
        <v/>
      </c>
      <c r="O14" s="4" t="inlineStr">
        <is>
          <t>Card</t>
        </is>
      </c>
      <c r="P14" s="15">
        <f>IF($A14="","",DATE(YEAR($A14),MONTH($A14),1))</f>
        <v/>
      </c>
      <c r="Q14" s="16">
        <f>IF($H14="","",$J14*IFERROR(INDEX('Settings'!$L$10:$L$39,MATCH($H14,'Settings'!$I$10:$I$39,0)),0))</f>
        <v/>
      </c>
      <c r="R14" s="17">
        <f>IF($A14="","",$A14-WEEKDAY($A14,2)+1)</f>
        <v/>
      </c>
    </row>
    <row r="15">
      <c r="A15" s="5" t="n">
        <v>46205</v>
      </c>
      <c r="B15" s="4" t="inlineStr">
        <is>
          <t>Main branch</t>
        </is>
      </c>
      <c r="C15" s="4" t="inlineStr">
        <is>
          <t>Main 3</t>
        </is>
      </c>
      <c r="D15" s="4" t="inlineStr">
        <is>
          <t>Dr Noura Al Subaie</t>
        </is>
      </c>
      <c r="E15" s="4" t="inlineStr">
        <is>
          <t>P-3375</t>
        </is>
      </c>
      <c r="F15" s="4" t="inlineStr">
        <is>
          <t>Returning</t>
        </is>
      </c>
      <c r="G15" s="4" t="inlineStr">
        <is>
          <t>Instagram</t>
        </is>
      </c>
      <c r="H15" s="4" t="inlineStr">
        <is>
          <t>Laser session, face</t>
        </is>
      </c>
      <c r="I15" s="9">
        <f>IF($H15="","",IFERROR(INDEX('Settings'!$J$10:$J$39,MATCH($H15,'Settings'!$I$10:$I$39,0)),""))</f>
        <v/>
      </c>
      <c r="J15" s="6" t="n">
        <v>1</v>
      </c>
      <c r="K15" s="8" t="n">
        <v>600</v>
      </c>
      <c r="L15" s="8" t="n"/>
      <c r="M15" s="14">
        <f>IF($A15="","",$J15*$K15)</f>
        <v/>
      </c>
      <c r="N15" s="14">
        <f>IF($A15="","",$M15-$L15)</f>
        <v/>
      </c>
      <c r="O15" s="4" t="inlineStr">
        <is>
          <t>Cash</t>
        </is>
      </c>
      <c r="P15" s="15">
        <f>IF($A15="","",DATE(YEAR($A15),MONTH($A15),1))</f>
        <v/>
      </c>
      <c r="Q15" s="16">
        <f>IF($H15="","",$J15*IFERROR(INDEX('Settings'!$L$10:$L$39,MATCH($H15,'Settings'!$I$10:$I$39,0)),0))</f>
        <v/>
      </c>
      <c r="R15" s="17">
        <f>IF($A15="","",$A15-WEEKDAY($A15,2)+1)</f>
        <v/>
      </c>
    </row>
    <row r="16">
      <c r="A16" s="5" t="n">
        <v>46205</v>
      </c>
      <c r="B16" s="4" t="inlineStr">
        <is>
          <t>Main branch</t>
        </is>
      </c>
      <c r="C16" s="4" t="inlineStr">
        <is>
          <t>Main 3</t>
        </is>
      </c>
      <c r="D16" s="4" t="inlineStr">
        <is>
          <t>Dr Sara Al Harbi</t>
        </is>
      </c>
      <c r="E16" s="4" t="inlineStr">
        <is>
          <t>P-2226</t>
        </is>
      </c>
      <c r="F16" s="4" t="inlineStr">
        <is>
          <t>Returning</t>
        </is>
      </c>
      <c r="G16" s="4" t="inlineStr">
        <is>
          <t>Walk-in</t>
        </is>
      </c>
      <c r="H16" s="4" t="inlineStr">
        <is>
          <t>Skin tag removal</t>
        </is>
      </c>
      <c r="I16" s="9">
        <f>IF($H16="","",IFERROR(INDEX('Settings'!$J$10:$J$39,MATCH($H16,'Settings'!$I$10:$I$39,0)),""))</f>
        <v/>
      </c>
      <c r="J16" s="6" t="n">
        <v>1</v>
      </c>
      <c r="K16" s="8" t="n">
        <v>500</v>
      </c>
      <c r="L16" s="8" t="n"/>
      <c r="M16" s="14">
        <f>IF($A16="","",$J16*$K16)</f>
        <v/>
      </c>
      <c r="N16" s="14">
        <f>IF($A16="","",$M16-$L16)</f>
        <v/>
      </c>
      <c r="O16" s="4" t="inlineStr">
        <is>
          <t>Payment link</t>
        </is>
      </c>
      <c r="P16" s="15">
        <f>IF($A16="","",DATE(YEAR($A16),MONTH($A16),1))</f>
        <v/>
      </c>
      <c r="Q16" s="16">
        <f>IF($H16="","",$J16*IFERROR(INDEX('Settings'!$L$10:$L$39,MATCH($H16,'Settings'!$I$10:$I$39,0)),0))</f>
        <v/>
      </c>
      <c r="R16" s="17">
        <f>IF($A16="","",$A16-WEEKDAY($A16,2)+1)</f>
        <v/>
      </c>
    </row>
    <row r="17">
      <c r="A17" s="5" t="n">
        <v>46205</v>
      </c>
      <c r="B17" s="4" t="inlineStr">
        <is>
          <t>Main branch</t>
        </is>
      </c>
      <c r="C17" s="4" t="inlineStr">
        <is>
          <t>Main 3</t>
        </is>
      </c>
      <c r="D17" s="4" t="inlineStr">
        <is>
          <t>Dr Noura Al Subaie</t>
        </is>
      </c>
      <c r="E17" s="4" t="inlineStr">
        <is>
          <t>P-3091</t>
        </is>
      </c>
      <c r="F17" s="4" t="inlineStr">
        <is>
          <t>Returning</t>
        </is>
      </c>
      <c r="G17" s="4" t="inlineStr">
        <is>
          <t>Referral</t>
        </is>
      </c>
      <c r="H17" s="4" t="inlineStr">
        <is>
          <t>Follow-up visit</t>
        </is>
      </c>
      <c r="I17" s="9">
        <f>IF($H17="","",IFERROR(INDEX('Settings'!$J$10:$J$39,MATCH($H17,'Settings'!$I$10:$I$39,0)),""))</f>
        <v/>
      </c>
      <c r="J17" s="6" t="n">
        <v>1</v>
      </c>
      <c r="K17" s="8" t="n">
        <v>150</v>
      </c>
      <c r="L17" s="8" t="n"/>
      <c r="M17" s="14">
        <f>IF($A17="","",$J17*$K17)</f>
        <v/>
      </c>
      <c r="N17" s="14">
        <f>IF($A17="","",$M17-$L17)</f>
        <v/>
      </c>
      <c r="O17" s="4" t="inlineStr">
        <is>
          <t>Payment link</t>
        </is>
      </c>
      <c r="P17" s="15">
        <f>IF($A17="","",DATE(YEAR($A17),MONTH($A17),1))</f>
        <v/>
      </c>
      <c r="Q17" s="16">
        <f>IF($H17="","",$J17*IFERROR(INDEX('Settings'!$L$10:$L$39,MATCH($H17,'Settings'!$I$10:$I$39,0)),0))</f>
        <v/>
      </c>
      <c r="R17" s="17">
        <f>IF($A17="","",$A17-WEEKDAY($A17,2)+1)</f>
        <v/>
      </c>
    </row>
    <row r="18">
      <c r="A18" s="5" t="n">
        <v>46205</v>
      </c>
      <c r="B18" s="4" t="inlineStr">
        <is>
          <t>North branch</t>
        </is>
      </c>
      <c r="C18" s="4" t="inlineStr">
        <is>
          <t>North 1</t>
        </is>
      </c>
      <c r="D18" s="4" t="inlineStr">
        <is>
          <t>Dr Khaled Youssef</t>
        </is>
      </c>
      <c r="E18" s="4" t="inlineStr">
        <is>
          <t>P-3383</t>
        </is>
      </c>
      <c r="F18" s="4" t="inlineStr">
        <is>
          <t>Returning</t>
        </is>
      </c>
      <c r="G18" s="4" t="inlineStr">
        <is>
          <t>WhatsApp</t>
        </is>
      </c>
      <c r="H18" s="4" t="inlineStr">
        <is>
          <t>Physiotherapy session</t>
        </is>
      </c>
      <c r="I18" s="9">
        <f>IF($H18="","",IFERROR(INDEX('Settings'!$J$10:$J$39,MATCH($H18,'Settings'!$I$10:$I$39,0)),""))</f>
        <v/>
      </c>
      <c r="J18" s="6" t="n">
        <v>1</v>
      </c>
      <c r="K18" s="8" t="n">
        <v>300</v>
      </c>
      <c r="L18" s="8" t="n"/>
      <c r="M18" s="14">
        <f>IF($A18="","",$J18*$K18)</f>
        <v/>
      </c>
      <c r="N18" s="14">
        <f>IF($A18="","",$M18-$L18)</f>
        <v/>
      </c>
      <c r="O18" s="4" t="inlineStr">
        <is>
          <t>Card</t>
        </is>
      </c>
      <c r="P18" s="15">
        <f>IF($A18="","",DATE(YEAR($A18),MONTH($A18),1))</f>
        <v/>
      </c>
      <c r="Q18" s="16">
        <f>IF($H18="","",$J18*IFERROR(INDEX('Settings'!$L$10:$L$39,MATCH($H18,'Settings'!$I$10:$I$39,0)),0))</f>
        <v/>
      </c>
      <c r="R18" s="17">
        <f>IF($A18="","",$A18-WEEKDAY($A18,2)+1)</f>
        <v/>
      </c>
    </row>
    <row r="19">
      <c r="A19" s="5" t="n">
        <v>46205</v>
      </c>
      <c r="B19" s="4" t="inlineStr">
        <is>
          <t>North branch</t>
        </is>
      </c>
      <c r="C19" s="4" t="inlineStr">
        <is>
          <t>North 2</t>
        </is>
      </c>
      <c r="D19" s="4" t="inlineStr">
        <is>
          <t>Dr Khaled Youssef</t>
        </is>
      </c>
      <c r="E19" s="4" t="inlineStr">
        <is>
          <t>P-2716</t>
        </is>
      </c>
      <c r="F19" s="4" t="inlineStr">
        <is>
          <t>Returning</t>
        </is>
      </c>
      <c r="G19" s="4" t="inlineStr">
        <is>
          <t>Google</t>
        </is>
      </c>
      <c r="H19" s="4" t="inlineStr">
        <is>
          <t>Laser session, body</t>
        </is>
      </c>
      <c r="I19" s="9">
        <f>IF($H19="","",IFERROR(INDEX('Settings'!$J$10:$J$39,MATCH($H19,'Settings'!$I$10:$I$39,0)),""))</f>
        <v/>
      </c>
      <c r="J19" s="6" t="n">
        <v>1</v>
      </c>
      <c r="K19" s="8" t="n">
        <v>1200</v>
      </c>
      <c r="L19" s="8" t="n">
        <v>120</v>
      </c>
      <c r="M19" s="14">
        <f>IF($A19="","",$J19*$K19)</f>
        <v/>
      </c>
      <c r="N19" s="14">
        <f>IF($A19="","",$M19-$L19)</f>
        <v/>
      </c>
      <c r="O19" s="4" t="inlineStr">
        <is>
          <t>Card</t>
        </is>
      </c>
      <c r="P19" s="15">
        <f>IF($A19="","",DATE(YEAR($A19),MONTH($A19),1))</f>
        <v/>
      </c>
      <c r="Q19" s="16">
        <f>IF($H19="","",$J19*IFERROR(INDEX('Settings'!$L$10:$L$39,MATCH($H19,'Settings'!$I$10:$I$39,0)),0))</f>
        <v/>
      </c>
      <c r="R19" s="17">
        <f>IF($A19="","",$A19-WEEKDAY($A19,2)+1)</f>
        <v/>
      </c>
    </row>
    <row r="20">
      <c r="A20" s="5" t="n">
        <v>46205</v>
      </c>
      <c r="B20" s="4" t="inlineStr">
        <is>
          <t>North branch</t>
        </is>
      </c>
      <c r="C20" s="4" t="inlineStr">
        <is>
          <t>North 2</t>
        </is>
      </c>
      <c r="D20" s="4" t="inlineStr">
        <is>
          <t>Dr Layla Al Qahtani</t>
        </is>
      </c>
      <c r="E20" s="4" t="inlineStr">
        <is>
          <t>P-2674</t>
        </is>
      </c>
      <c r="F20" s="4" t="inlineStr">
        <is>
          <t>Returning</t>
        </is>
      </c>
      <c r="G20" s="4" t="inlineStr">
        <is>
          <t>Instagram</t>
        </is>
      </c>
      <c r="H20" s="4" t="inlineStr">
        <is>
          <t>Laser session, face</t>
        </is>
      </c>
      <c r="I20" s="9">
        <f>IF($H20="","",IFERROR(INDEX('Settings'!$J$10:$J$39,MATCH($H20,'Settings'!$I$10:$I$39,0)),""))</f>
        <v/>
      </c>
      <c r="J20" s="6" t="n">
        <v>1</v>
      </c>
      <c r="K20" s="8" t="n">
        <v>600</v>
      </c>
      <c r="L20" s="8" t="n"/>
      <c r="M20" s="14">
        <f>IF($A20="","",$J20*$K20)</f>
        <v/>
      </c>
      <c r="N20" s="14">
        <f>IF($A20="","",$M20-$L20)</f>
        <v/>
      </c>
      <c r="O20" s="4" t="inlineStr">
        <is>
          <t>Cash</t>
        </is>
      </c>
      <c r="P20" s="15">
        <f>IF($A20="","",DATE(YEAR($A20),MONTH($A20),1))</f>
        <v/>
      </c>
      <c r="Q20" s="16">
        <f>IF($H20="","",$J20*IFERROR(INDEX('Settings'!$L$10:$L$39,MATCH($H20,'Settings'!$I$10:$I$39,0)),0))</f>
        <v/>
      </c>
      <c r="R20" s="17">
        <f>IF($A20="","",$A20-WEEKDAY($A20,2)+1)</f>
        <v/>
      </c>
    </row>
    <row r="21">
      <c r="A21" s="5" t="n">
        <v>46205</v>
      </c>
      <c r="B21" s="4" t="inlineStr">
        <is>
          <t>North branch</t>
        </is>
      </c>
      <c r="C21" s="4" t="inlineStr">
        <is>
          <t>North 2</t>
        </is>
      </c>
      <c r="D21" s="4" t="inlineStr">
        <is>
          <t>Dr Mohamed Adel</t>
        </is>
      </c>
      <c r="E21" s="4" t="inlineStr">
        <is>
          <t>P-3040</t>
        </is>
      </c>
      <c r="F21" s="4" t="inlineStr">
        <is>
          <t>Returning</t>
        </is>
      </c>
      <c r="G21" s="4" t="inlineStr">
        <is>
          <t>Instagram</t>
        </is>
      </c>
      <c r="H21" s="4" t="inlineStr">
        <is>
          <t>Chemical peel</t>
        </is>
      </c>
      <c r="I21" s="9">
        <f>IF($H21="","",IFERROR(INDEX('Settings'!$J$10:$J$39,MATCH($H21,'Settings'!$I$10:$I$39,0)),""))</f>
        <v/>
      </c>
      <c r="J21" s="6" t="n">
        <v>1</v>
      </c>
      <c r="K21" s="8" t="n">
        <v>800</v>
      </c>
      <c r="L21" s="8" t="n"/>
      <c r="M21" s="14">
        <f>IF($A21="","",$J21*$K21)</f>
        <v/>
      </c>
      <c r="N21" s="14">
        <f>IF($A21="","",$M21-$L21)</f>
        <v/>
      </c>
      <c r="O21" s="4" t="inlineStr">
        <is>
          <t>Insurance</t>
        </is>
      </c>
      <c r="P21" s="15">
        <f>IF($A21="","",DATE(YEAR($A21),MONTH($A21),1))</f>
        <v/>
      </c>
      <c r="Q21" s="16">
        <f>IF($H21="","",$J21*IFERROR(INDEX('Settings'!$L$10:$L$39,MATCH($H21,'Settings'!$I$10:$I$39,0)),0))</f>
        <v/>
      </c>
      <c r="R21" s="17">
        <f>IF($A21="","",$A21-WEEKDAY($A21,2)+1)</f>
        <v/>
      </c>
    </row>
    <row r="22">
      <c r="A22" s="5" t="n">
        <v>46205</v>
      </c>
      <c r="B22" s="4" t="inlineStr">
        <is>
          <t>North branch</t>
        </is>
      </c>
      <c r="C22" s="4" t="inlineStr">
        <is>
          <t>North 2</t>
        </is>
      </c>
      <c r="D22" s="4" t="inlineStr">
        <is>
          <t>Dr Mohamed Adel</t>
        </is>
      </c>
      <c r="E22" s="4" t="inlineStr">
        <is>
          <t>P-3234</t>
        </is>
      </c>
      <c r="F22" s="4" t="inlineStr">
        <is>
          <t>New</t>
        </is>
      </c>
      <c r="G22" s="4" t="inlineStr">
        <is>
          <t>Walk-in</t>
        </is>
      </c>
      <c r="H22" s="4" t="inlineStr">
        <is>
          <t>Laser session, body</t>
        </is>
      </c>
      <c r="I22" s="9">
        <f>IF($H22="","",IFERROR(INDEX('Settings'!$J$10:$J$39,MATCH($H22,'Settings'!$I$10:$I$39,0)),""))</f>
        <v/>
      </c>
      <c r="J22" s="6" t="n">
        <v>1</v>
      </c>
      <c r="K22" s="8" t="n">
        <v>1200</v>
      </c>
      <c r="L22" s="8" t="n"/>
      <c r="M22" s="14">
        <f>IF($A22="","",$J22*$K22)</f>
        <v/>
      </c>
      <c r="N22" s="14">
        <f>IF($A22="","",$M22-$L22)</f>
        <v/>
      </c>
      <c r="O22" s="4" t="inlineStr">
        <is>
          <t>Cash</t>
        </is>
      </c>
      <c r="P22" s="15">
        <f>IF($A22="","",DATE(YEAR($A22),MONTH($A22),1))</f>
        <v/>
      </c>
      <c r="Q22" s="16">
        <f>IF($H22="","",$J22*IFERROR(INDEX('Settings'!$L$10:$L$39,MATCH($H22,'Settings'!$I$10:$I$39,0)),0))</f>
        <v/>
      </c>
      <c r="R22" s="17">
        <f>IF($A22="","",$A22-WEEKDAY($A22,2)+1)</f>
        <v/>
      </c>
    </row>
    <row r="23">
      <c r="A23" s="5" t="n">
        <v>46205</v>
      </c>
      <c r="B23" s="4" t="inlineStr">
        <is>
          <t>North branch</t>
        </is>
      </c>
      <c r="C23" s="4" t="inlineStr">
        <is>
          <t>North 2</t>
        </is>
      </c>
      <c r="D23" s="4" t="inlineStr">
        <is>
          <t>Dr Layla Al Qahtani</t>
        </is>
      </c>
      <c r="E23" s="4" t="inlineStr">
        <is>
          <t>P-2575</t>
        </is>
      </c>
      <c r="F23" s="4" t="inlineStr">
        <is>
          <t>Returning</t>
        </is>
      </c>
      <c r="G23" s="4" t="inlineStr">
        <is>
          <t>Google</t>
        </is>
      </c>
      <c r="H23" s="4" t="inlineStr">
        <is>
          <t>Follow-up visit</t>
        </is>
      </c>
      <c r="I23" s="9">
        <f>IF($H23="","",IFERROR(INDEX('Settings'!$J$10:$J$39,MATCH($H23,'Settings'!$I$10:$I$39,0)),""))</f>
        <v/>
      </c>
      <c r="J23" s="6" t="n">
        <v>1</v>
      </c>
      <c r="K23" s="8" t="n">
        <v>150</v>
      </c>
      <c r="L23" s="8" t="n"/>
      <c r="M23" s="14">
        <f>IF($A23="","",$J23*$K23)</f>
        <v/>
      </c>
      <c r="N23" s="14">
        <f>IF($A23="","",$M23-$L23)</f>
        <v/>
      </c>
      <c r="O23" s="4" t="inlineStr">
        <is>
          <t>Transfer</t>
        </is>
      </c>
      <c r="P23" s="15">
        <f>IF($A23="","",DATE(YEAR($A23),MONTH($A23),1))</f>
        <v/>
      </c>
      <c r="Q23" s="16">
        <f>IF($H23="","",$J23*IFERROR(INDEX('Settings'!$L$10:$L$39,MATCH($H23,'Settings'!$I$10:$I$39,0)),0))</f>
        <v/>
      </c>
      <c r="R23" s="17">
        <f>IF($A23="","",$A23-WEEKDAY($A23,2)+1)</f>
        <v/>
      </c>
    </row>
    <row r="24">
      <c r="A24" s="5" t="n">
        <v>46205</v>
      </c>
      <c r="B24" s="4" t="inlineStr">
        <is>
          <t>North branch</t>
        </is>
      </c>
      <c r="C24" s="4" t="inlineStr">
        <is>
          <t>North 2</t>
        </is>
      </c>
      <c r="D24" s="4" t="inlineStr">
        <is>
          <t>Dr Mohamed Adel</t>
        </is>
      </c>
      <c r="E24" s="4" t="inlineStr">
        <is>
          <t>P-2732</t>
        </is>
      </c>
      <c r="F24" s="4" t="inlineStr">
        <is>
          <t>New</t>
        </is>
      </c>
      <c r="G24" s="4" t="inlineStr">
        <is>
          <t>Google</t>
        </is>
      </c>
      <c r="H24" s="4" t="inlineStr">
        <is>
          <t>Follow-up visit</t>
        </is>
      </c>
      <c r="I24" s="9">
        <f>IF($H24="","",IFERROR(INDEX('Settings'!$J$10:$J$39,MATCH($H24,'Settings'!$I$10:$I$39,0)),""))</f>
        <v/>
      </c>
      <c r="J24" s="6" t="n">
        <v>1</v>
      </c>
      <c r="K24" s="8" t="n">
        <v>150</v>
      </c>
      <c r="L24" s="8" t="n"/>
      <c r="M24" s="14">
        <f>IF($A24="","",$J24*$K24)</f>
        <v/>
      </c>
      <c r="N24" s="14">
        <f>IF($A24="","",$M24-$L24)</f>
        <v/>
      </c>
      <c r="O24" s="4" t="inlineStr">
        <is>
          <t>Card</t>
        </is>
      </c>
      <c r="P24" s="15">
        <f>IF($A24="","",DATE(YEAR($A24),MONTH($A24),1))</f>
        <v/>
      </c>
      <c r="Q24" s="16">
        <f>IF($H24="","",$J24*IFERROR(INDEX('Settings'!$L$10:$L$39,MATCH($H24,'Settings'!$I$10:$I$39,0)),0))</f>
        <v/>
      </c>
      <c r="R24" s="17">
        <f>IF($A24="","",$A24-WEEKDAY($A24,2)+1)</f>
        <v/>
      </c>
    </row>
    <row r="25">
      <c r="A25" s="5" t="n">
        <v>46207</v>
      </c>
      <c r="B25" s="4" t="inlineStr">
        <is>
          <t>Main branch</t>
        </is>
      </c>
      <c r="C25" s="4" t="inlineStr">
        <is>
          <t>Main 3</t>
        </is>
      </c>
      <c r="D25" s="4" t="inlineStr">
        <is>
          <t>Dr Ahmed Mansour</t>
        </is>
      </c>
      <c r="E25" s="4" t="inlineStr">
        <is>
          <t>P-2981</t>
        </is>
      </c>
      <c r="F25" s="4" t="inlineStr">
        <is>
          <t>Returning</t>
        </is>
      </c>
      <c r="G25" s="4" t="inlineStr">
        <is>
          <t>Referral</t>
        </is>
      </c>
      <c r="H25" s="4" t="inlineStr">
        <is>
          <t>Laser session, face</t>
        </is>
      </c>
      <c r="I25" s="9">
        <f>IF($H25="","",IFERROR(INDEX('Settings'!$J$10:$J$39,MATCH($H25,'Settings'!$I$10:$I$39,0)),""))</f>
        <v/>
      </c>
      <c r="J25" s="6" t="n">
        <v>1</v>
      </c>
      <c r="K25" s="8" t="n">
        <v>600</v>
      </c>
      <c r="L25" s="8" t="n">
        <v>60</v>
      </c>
      <c r="M25" s="14">
        <f>IF($A25="","",$J25*$K25)</f>
        <v/>
      </c>
      <c r="N25" s="14">
        <f>IF($A25="","",$M25-$L25)</f>
        <v/>
      </c>
      <c r="O25" s="4" t="inlineStr">
        <is>
          <t>Payment link</t>
        </is>
      </c>
      <c r="P25" s="15">
        <f>IF($A25="","",DATE(YEAR($A25),MONTH($A25),1))</f>
        <v/>
      </c>
      <c r="Q25" s="16">
        <f>IF($H25="","",$J25*IFERROR(INDEX('Settings'!$L$10:$L$39,MATCH($H25,'Settings'!$I$10:$I$39,0)),0))</f>
        <v/>
      </c>
      <c r="R25" s="17">
        <f>IF($A25="","",$A25-WEEKDAY($A25,2)+1)</f>
        <v/>
      </c>
    </row>
    <row r="26">
      <c r="A26" s="5" t="n">
        <v>46207</v>
      </c>
      <c r="B26" s="4" t="inlineStr">
        <is>
          <t>Main branch</t>
        </is>
      </c>
      <c r="C26" s="4" t="inlineStr">
        <is>
          <t>Main 4</t>
        </is>
      </c>
      <c r="D26" s="4" t="inlineStr">
        <is>
          <t>Dr Ahmed Mansour</t>
        </is>
      </c>
      <c r="E26" s="4" t="inlineStr">
        <is>
          <t>P-2671</t>
        </is>
      </c>
      <c r="F26" s="4" t="inlineStr">
        <is>
          <t>Returning</t>
        </is>
      </c>
      <c r="G26" s="4" t="inlineStr">
        <is>
          <t>Walk-in</t>
        </is>
      </c>
      <c r="H26" s="4" t="inlineStr">
        <is>
          <t>Chemical peel</t>
        </is>
      </c>
      <c r="I26" s="9">
        <f>IF($H26="","",IFERROR(INDEX('Settings'!$J$10:$J$39,MATCH($H26,'Settings'!$I$10:$I$39,0)),""))</f>
        <v/>
      </c>
      <c r="J26" s="6" t="n">
        <v>1</v>
      </c>
      <c r="K26" s="8" t="n">
        <v>800</v>
      </c>
      <c r="L26" s="8" t="n">
        <v>80</v>
      </c>
      <c r="M26" s="14">
        <f>IF($A26="","",$J26*$K26)</f>
        <v/>
      </c>
      <c r="N26" s="14">
        <f>IF($A26="","",$M26-$L26)</f>
        <v/>
      </c>
      <c r="O26" s="4" t="inlineStr">
        <is>
          <t>Card</t>
        </is>
      </c>
      <c r="P26" s="15">
        <f>IF($A26="","",DATE(YEAR($A26),MONTH($A26),1))</f>
        <v/>
      </c>
      <c r="Q26" s="16">
        <f>IF($H26="","",$J26*IFERROR(INDEX('Settings'!$L$10:$L$39,MATCH($H26,'Settings'!$I$10:$I$39,0)),0))</f>
        <v/>
      </c>
      <c r="R26" s="17">
        <f>IF($A26="","",$A26-WEEKDAY($A26,2)+1)</f>
        <v/>
      </c>
    </row>
    <row r="27">
      <c r="A27" s="5" t="n">
        <v>46207</v>
      </c>
      <c r="B27" s="4" t="inlineStr">
        <is>
          <t>Main branch</t>
        </is>
      </c>
      <c r="C27" s="4" t="inlineStr">
        <is>
          <t>Main 4</t>
        </is>
      </c>
      <c r="D27" s="4" t="inlineStr">
        <is>
          <t>Dr Ahmed Mansour</t>
        </is>
      </c>
      <c r="E27" s="4" t="inlineStr">
        <is>
          <t>P-2688</t>
        </is>
      </c>
      <c r="F27" s="4" t="inlineStr">
        <is>
          <t>New</t>
        </is>
      </c>
      <c r="G27" s="4" t="inlineStr">
        <is>
          <t>Google</t>
        </is>
      </c>
      <c r="H27" s="4" t="inlineStr">
        <is>
          <t>Specialist consultation</t>
        </is>
      </c>
      <c r="I27" s="9">
        <f>IF($H27="","",IFERROR(INDEX('Settings'!$J$10:$J$39,MATCH($H27,'Settings'!$I$10:$I$39,0)),""))</f>
        <v/>
      </c>
      <c r="J27" s="6" t="n">
        <v>1</v>
      </c>
      <c r="K27" s="8" t="n">
        <v>350</v>
      </c>
      <c r="L27" s="8" t="n"/>
      <c r="M27" s="14">
        <f>IF($A27="","",$J27*$K27)</f>
        <v/>
      </c>
      <c r="N27" s="14">
        <f>IF($A27="","",$M27-$L27)</f>
        <v/>
      </c>
      <c r="O27" s="4" t="inlineStr">
        <is>
          <t>Card</t>
        </is>
      </c>
      <c r="P27" s="15">
        <f>IF($A27="","",DATE(YEAR($A27),MONTH($A27),1))</f>
        <v/>
      </c>
      <c r="Q27" s="16">
        <f>IF($H27="","",$J27*IFERROR(INDEX('Settings'!$L$10:$L$39,MATCH($H27,'Settings'!$I$10:$I$39,0)),0))</f>
        <v/>
      </c>
      <c r="R27" s="17">
        <f>IF($A27="","",$A27-WEEKDAY($A27,2)+1)</f>
        <v/>
      </c>
    </row>
    <row r="28">
      <c r="A28" s="5" t="n">
        <v>46207</v>
      </c>
      <c r="B28" s="4" t="inlineStr">
        <is>
          <t>North branch</t>
        </is>
      </c>
      <c r="C28" s="4" t="inlineStr">
        <is>
          <t>North 1</t>
        </is>
      </c>
      <c r="D28" s="4" t="inlineStr">
        <is>
          <t>Dr Layla Al Qahtani</t>
        </is>
      </c>
      <c r="E28" s="4" t="inlineStr">
        <is>
          <t>P-2671</t>
        </is>
      </c>
      <c r="F28" s="4" t="inlineStr">
        <is>
          <t>New</t>
        </is>
      </c>
      <c r="G28" s="4" t="inlineStr">
        <is>
          <t>Google</t>
        </is>
      </c>
      <c r="H28" s="4" t="inlineStr">
        <is>
          <t>Laser session, body</t>
        </is>
      </c>
      <c r="I28" s="9">
        <f>IF($H28="","",IFERROR(INDEX('Settings'!$J$10:$J$39,MATCH($H28,'Settings'!$I$10:$I$39,0)),""))</f>
        <v/>
      </c>
      <c r="J28" s="6" t="n">
        <v>1</v>
      </c>
      <c r="K28" s="8" t="n">
        <v>1200</v>
      </c>
      <c r="L28" s="8" t="n"/>
      <c r="M28" s="14">
        <f>IF($A28="","",$J28*$K28)</f>
        <v/>
      </c>
      <c r="N28" s="14">
        <f>IF($A28="","",$M28-$L28)</f>
        <v/>
      </c>
      <c r="O28" s="4" t="inlineStr">
        <is>
          <t>Card</t>
        </is>
      </c>
      <c r="P28" s="15">
        <f>IF($A28="","",DATE(YEAR($A28),MONTH($A28),1))</f>
        <v/>
      </c>
      <c r="Q28" s="16">
        <f>IF($H28="","",$J28*IFERROR(INDEX('Settings'!$L$10:$L$39,MATCH($H28,'Settings'!$I$10:$I$39,0)),0))</f>
        <v/>
      </c>
      <c r="R28" s="17">
        <f>IF($A28="","",$A28-WEEKDAY($A28,2)+1)</f>
        <v/>
      </c>
    </row>
    <row r="29">
      <c r="A29" s="5" t="n">
        <v>46207</v>
      </c>
      <c r="B29" s="4" t="inlineStr">
        <is>
          <t>North branch</t>
        </is>
      </c>
      <c r="C29" s="4" t="inlineStr">
        <is>
          <t>North 1</t>
        </is>
      </c>
      <c r="D29" s="4" t="inlineStr">
        <is>
          <t>Dr Khaled Youssef</t>
        </is>
      </c>
      <c r="E29" s="4" t="inlineStr">
        <is>
          <t>P-2254</t>
        </is>
      </c>
      <c r="F29" s="4" t="inlineStr">
        <is>
          <t>Returning</t>
        </is>
      </c>
      <c r="G29" s="4" t="inlineStr">
        <is>
          <t>WhatsApp</t>
        </is>
      </c>
      <c r="H29" s="4" t="inlineStr">
        <is>
          <t>Laser session, body</t>
        </is>
      </c>
      <c r="I29" s="9">
        <f>IF($H29="","",IFERROR(INDEX('Settings'!$J$10:$J$39,MATCH($H29,'Settings'!$I$10:$I$39,0)),""))</f>
        <v/>
      </c>
      <c r="J29" s="6" t="n">
        <v>1</v>
      </c>
      <c r="K29" s="8" t="n">
        <v>1200</v>
      </c>
      <c r="L29" s="8" t="n"/>
      <c r="M29" s="14">
        <f>IF($A29="","",$J29*$K29)</f>
        <v/>
      </c>
      <c r="N29" s="14">
        <f>IF($A29="","",$M29-$L29)</f>
        <v/>
      </c>
      <c r="O29" s="4" t="inlineStr">
        <is>
          <t>Card</t>
        </is>
      </c>
      <c r="P29" s="15">
        <f>IF($A29="","",DATE(YEAR($A29),MONTH($A29),1))</f>
        <v/>
      </c>
      <c r="Q29" s="16">
        <f>IF($H29="","",$J29*IFERROR(INDEX('Settings'!$L$10:$L$39,MATCH($H29,'Settings'!$I$10:$I$39,0)),0))</f>
        <v/>
      </c>
      <c r="R29" s="17">
        <f>IF($A29="","",$A29-WEEKDAY($A29,2)+1)</f>
        <v/>
      </c>
    </row>
    <row r="30">
      <c r="A30" s="5" t="n">
        <v>46207</v>
      </c>
      <c r="B30" s="4" t="inlineStr">
        <is>
          <t>North branch</t>
        </is>
      </c>
      <c r="C30" s="4" t="inlineStr">
        <is>
          <t>North 1</t>
        </is>
      </c>
      <c r="D30" s="4" t="inlineStr">
        <is>
          <t>Dr Layla Al Qahtani</t>
        </is>
      </c>
      <c r="E30" s="4" t="inlineStr">
        <is>
          <t>P-3312</t>
        </is>
      </c>
      <c r="F30" s="4" t="inlineStr">
        <is>
          <t>Returning</t>
        </is>
      </c>
      <c r="G30" s="4" t="inlineStr">
        <is>
          <t>Referral</t>
        </is>
      </c>
      <c r="H30" s="4" t="inlineStr">
        <is>
          <t>Skin tag removal</t>
        </is>
      </c>
      <c r="I30" s="9">
        <f>IF($H30="","",IFERROR(INDEX('Settings'!$J$10:$J$39,MATCH($H30,'Settings'!$I$10:$I$39,0)),""))</f>
        <v/>
      </c>
      <c r="J30" s="6" t="n">
        <v>1</v>
      </c>
      <c r="K30" s="8" t="n">
        <v>500</v>
      </c>
      <c r="L30" s="8" t="n"/>
      <c r="M30" s="14">
        <f>IF($A30="","",$J30*$K30)</f>
        <v/>
      </c>
      <c r="N30" s="14">
        <f>IF($A30="","",$M30-$L30)</f>
        <v/>
      </c>
      <c r="O30" s="4" t="inlineStr">
        <is>
          <t>Transfer</t>
        </is>
      </c>
      <c r="P30" s="15">
        <f>IF($A30="","",DATE(YEAR($A30),MONTH($A30),1))</f>
        <v/>
      </c>
      <c r="Q30" s="16">
        <f>IF($H30="","",$J30*IFERROR(INDEX('Settings'!$L$10:$L$39,MATCH($H30,'Settings'!$I$10:$I$39,0)),0))</f>
        <v/>
      </c>
      <c r="R30" s="17">
        <f>IF($A30="","",$A30-WEEKDAY($A30,2)+1)</f>
        <v/>
      </c>
    </row>
    <row r="31">
      <c r="A31" s="5" t="n">
        <v>46207</v>
      </c>
      <c r="B31" s="4" t="inlineStr">
        <is>
          <t>North branch</t>
        </is>
      </c>
      <c r="C31" s="4" t="inlineStr">
        <is>
          <t>North 1</t>
        </is>
      </c>
      <c r="D31" s="4" t="inlineStr">
        <is>
          <t>Dr Khaled Youssef</t>
        </is>
      </c>
      <c r="E31" s="4" t="inlineStr">
        <is>
          <t>P-3088</t>
        </is>
      </c>
      <c r="F31" s="4" t="inlineStr">
        <is>
          <t>Returning</t>
        </is>
      </c>
      <c r="G31" s="4" t="inlineStr">
        <is>
          <t>Walk-in</t>
        </is>
      </c>
      <c r="H31" s="4" t="inlineStr">
        <is>
          <t>Facial cleansing</t>
        </is>
      </c>
      <c r="I31" s="9">
        <f>IF($H31="","",IFERROR(INDEX('Settings'!$J$10:$J$39,MATCH($H31,'Settings'!$I$10:$I$39,0)),""))</f>
        <v/>
      </c>
      <c r="J31" s="6" t="n">
        <v>1</v>
      </c>
      <c r="K31" s="8" t="n">
        <v>400</v>
      </c>
      <c r="L31" s="8" t="n"/>
      <c r="M31" s="14">
        <f>IF($A31="","",$J31*$K31)</f>
        <v/>
      </c>
      <c r="N31" s="14">
        <f>IF($A31="","",$M31-$L31)</f>
        <v/>
      </c>
      <c r="O31" s="4" t="inlineStr">
        <is>
          <t>Card</t>
        </is>
      </c>
      <c r="P31" s="15">
        <f>IF($A31="","",DATE(YEAR($A31),MONTH($A31),1))</f>
        <v/>
      </c>
      <c r="Q31" s="16">
        <f>IF($H31="","",$J31*IFERROR(INDEX('Settings'!$L$10:$L$39,MATCH($H31,'Settings'!$I$10:$I$39,0)),0))</f>
        <v/>
      </c>
      <c r="R31" s="17">
        <f>IF($A31="","",$A31-WEEKDAY($A31,2)+1)</f>
        <v/>
      </c>
    </row>
    <row r="32">
      <c r="A32" s="5" t="n">
        <v>46207</v>
      </c>
      <c r="B32" s="4" t="inlineStr">
        <is>
          <t>North branch</t>
        </is>
      </c>
      <c r="C32" s="4" t="inlineStr">
        <is>
          <t>North 1</t>
        </is>
      </c>
      <c r="D32" s="4" t="inlineStr">
        <is>
          <t>Dr Layla Al Qahtani</t>
        </is>
      </c>
      <c r="E32" s="4" t="inlineStr">
        <is>
          <t>P-2459</t>
        </is>
      </c>
      <c r="F32" s="4" t="inlineStr">
        <is>
          <t>New</t>
        </is>
      </c>
      <c r="G32" s="4" t="inlineStr">
        <is>
          <t>Instagram</t>
        </is>
      </c>
      <c r="H32" s="4" t="inlineStr">
        <is>
          <t>Sunscreen cream</t>
        </is>
      </c>
      <c r="I32" s="9">
        <f>IF($H32="","",IFERROR(INDEX('Settings'!$J$10:$J$39,MATCH($H32,'Settings'!$I$10:$I$39,0)),""))</f>
        <v/>
      </c>
      <c r="J32" s="6" t="n">
        <v>1</v>
      </c>
      <c r="K32" s="8" t="n">
        <v>120</v>
      </c>
      <c r="L32" s="8" t="n">
        <v>20</v>
      </c>
      <c r="M32" s="14">
        <f>IF($A32="","",$J32*$K32)</f>
        <v/>
      </c>
      <c r="N32" s="14">
        <f>IF($A32="","",$M32-$L32)</f>
        <v/>
      </c>
      <c r="O32" s="4" t="inlineStr">
        <is>
          <t>Insurance</t>
        </is>
      </c>
      <c r="P32" s="15">
        <f>IF($A32="","",DATE(YEAR($A32),MONTH($A32),1))</f>
        <v/>
      </c>
      <c r="Q32" s="16">
        <f>IF($H32="","",$J32*IFERROR(INDEX('Settings'!$L$10:$L$39,MATCH($H32,'Settings'!$I$10:$I$39,0)),0))</f>
        <v/>
      </c>
      <c r="R32" s="17">
        <f>IF($A32="","",$A32-WEEKDAY($A32,2)+1)</f>
        <v/>
      </c>
    </row>
    <row r="33">
      <c r="A33" s="5" t="n">
        <v>46207</v>
      </c>
      <c r="B33" s="4" t="inlineStr">
        <is>
          <t>North branch</t>
        </is>
      </c>
      <c r="C33" s="4" t="inlineStr">
        <is>
          <t>North 2</t>
        </is>
      </c>
      <c r="D33" s="4" t="inlineStr">
        <is>
          <t>Dr Khaled Youssef</t>
        </is>
      </c>
      <c r="E33" s="4" t="inlineStr">
        <is>
          <t>P-2169</t>
        </is>
      </c>
      <c r="F33" s="4" t="inlineStr">
        <is>
          <t>Returning</t>
        </is>
      </c>
      <c r="G33" s="4" t="inlineStr">
        <is>
          <t>Instagram</t>
        </is>
      </c>
      <c r="H33" s="4" t="inlineStr">
        <is>
          <t>Botulinum toxin</t>
        </is>
      </c>
      <c r="I33" s="9">
        <f>IF($H33="","",IFERROR(INDEX('Settings'!$J$10:$J$39,MATCH($H33,'Settings'!$I$10:$I$39,0)),""))</f>
        <v/>
      </c>
      <c r="J33" s="6" t="n">
        <v>1</v>
      </c>
      <c r="K33" s="8" t="n">
        <v>1500</v>
      </c>
      <c r="L33" s="8" t="n">
        <v>300</v>
      </c>
      <c r="M33" s="14">
        <f>IF($A33="","",$J33*$K33)</f>
        <v/>
      </c>
      <c r="N33" s="14">
        <f>IF($A33="","",$M33-$L33)</f>
        <v/>
      </c>
      <c r="O33" s="4" t="inlineStr">
        <is>
          <t>Transfer</t>
        </is>
      </c>
      <c r="P33" s="15">
        <f>IF($A33="","",DATE(YEAR($A33),MONTH($A33),1))</f>
        <v/>
      </c>
      <c r="Q33" s="16">
        <f>IF($H33="","",$J33*IFERROR(INDEX('Settings'!$L$10:$L$39,MATCH($H33,'Settings'!$I$10:$I$39,0)),0))</f>
        <v/>
      </c>
      <c r="R33" s="17">
        <f>IF($A33="","",$A33-WEEKDAY($A33,2)+1)</f>
        <v/>
      </c>
    </row>
    <row r="34">
      <c r="A34" s="5" t="n">
        <v>46207</v>
      </c>
      <c r="B34" s="4" t="inlineStr">
        <is>
          <t>North branch</t>
        </is>
      </c>
      <c r="C34" s="4" t="inlineStr">
        <is>
          <t>North 2</t>
        </is>
      </c>
      <c r="D34" s="4" t="inlineStr">
        <is>
          <t>Dr Layla Al Qahtani</t>
        </is>
      </c>
      <c r="E34" s="4" t="inlineStr">
        <is>
          <t>P-2665</t>
        </is>
      </c>
      <c r="F34" s="4" t="inlineStr">
        <is>
          <t>Returning</t>
        </is>
      </c>
      <c r="G34" s="4" t="inlineStr">
        <is>
          <t>Instagram</t>
        </is>
      </c>
      <c r="H34" s="4" t="inlineStr">
        <is>
          <t>Physiotherapy session</t>
        </is>
      </c>
      <c r="I34" s="9">
        <f>IF($H34="","",IFERROR(INDEX('Settings'!$J$10:$J$39,MATCH($H34,'Settings'!$I$10:$I$39,0)),""))</f>
        <v/>
      </c>
      <c r="J34" s="6" t="n">
        <v>1</v>
      </c>
      <c r="K34" s="8" t="n">
        <v>300</v>
      </c>
      <c r="L34" s="8" t="n">
        <v>40</v>
      </c>
      <c r="M34" s="14">
        <f>IF($A34="","",$J34*$K34)</f>
        <v/>
      </c>
      <c r="N34" s="14">
        <f>IF($A34="","",$M34-$L34)</f>
        <v/>
      </c>
      <c r="O34" s="4" t="inlineStr">
        <is>
          <t>Card</t>
        </is>
      </c>
      <c r="P34" s="15">
        <f>IF($A34="","",DATE(YEAR($A34),MONTH($A34),1))</f>
        <v/>
      </c>
      <c r="Q34" s="16">
        <f>IF($H34="","",$J34*IFERROR(INDEX('Settings'!$L$10:$L$39,MATCH($H34,'Settings'!$I$10:$I$39,0)),0))</f>
        <v/>
      </c>
      <c r="R34" s="17">
        <f>IF($A34="","",$A34-WEEKDAY($A34,2)+1)</f>
        <v/>
      </c>
    </row>
    <row r="35">
      <c r="A35" s="5" t="n">
        <v>46207</v>
      </c>
      <c r="B35" s="4" t="inlineStr">
        <is>
          <t>North branch</t>
        </is>
      </c>
      <c r="C35" s="4" t="inlineStr">
        <is>
          <t>North 2</t>
        </is>
      </c>
      <c r="D35" s="4" t="inlineStr">
        <is>
          <t>Dr Khaled Youssef</t>
        </is>
      </c>
      <c r="E35" s="4" t="inlineStr">
        <is>
          <t>P-2482</t>
        </is>
      </c>
      <c r="F35" s="4" t="inlineStr">
        <is>
          <t>Returning</t>
        </is>
      </c>
      <c r="G35" s="4" t="inlineStr">
        <is>
          <t>Instagram</t>
        </is>
      </c>
      <c r="H35" s="4" t="inlineStr">
        <is>
          <t>Laser session, face</t>
        </is>
      </c>
      <c r="I35" s="9">
        <f>IF($H35="","",IFERROR(INDEX('Settings'!$J$10:$J$39,MATCH($H35,'Settings'!$I$10:$I$39,0)),""))</f>
        <v/>
      </c>
      <c r="J35" s="6" t="n">
        <v>1</v>
      </c>
      <c r="K35" s="8" t="n">
        <v>600</v>
      </c>
      <c r="L35" s="8" t="n"/>
      <c r="M35" s="14">
        <f>IF($A35="","",$J35*$K35)</f>
        <v/>
      </c>
      <c r="N35" s="14">
        <f>IF($A35="","",$M35-$L35)</f>
        <v/>
      </c>
      <c r="O35" s="4" t="inlineStr">
        <is>
          <t>Payment link</t>
        </is>
      </c>
      <c r="P35" s="15">
        <f>IF($A35="","",DATE(YEAR($A35),MONTH($A35),1))</f>
        <v/>
      </c>
      <c r="Q35" s="16">
        <f>IF($H35="","",$J35*IFERROR(INDEX('Settings'!$L$10:$L$39,MATCH($H35,'Settings'!$I$10:$I$39,0)),0))</f>
        <v/>
      </c>
      <c r="R35" s="17">
        <f>IF($A35="","",$A35-WEEKDAY($A35,2)+1)</f>
        <v/>
      </c>
    </row>
    <row r="36">
      <c r="A36" s="5" t="n">
        <v>46207</v>
      </c>
      <c r="B36" s="4" t="inlineStr">
        <is>
          <t>North branch</t>
        </is>
      </c>
      <c r="C36" s="4" t="inlineStr">
        <is>
          <t>North 2</t>
        </is>
      </c>
      <c r="D36" s="4" t="inlineStr">
        <is>
          <t>Dr Khaled Youssef</t>
        </is>
      </c>
      <c r="E36" s="4" t="inlineStr">
        <is>
          <t>P-3224</t>
        </is>
      </c>
      <c r="F36" s="4" t="inlineStr">
        <is>
          <t>Returning</t>
        </is>
      </c>
      <c r="G36" s="4" t="inlineStr">
        <is>
          <t>Walk-in</t>
        </is>
      </c>
      <c r="H36" s="4" t="inlineStr">
        <is>
          <t>Laser session, face</t>
        </is>
      </c>
      <c r="I36" s="9">
        <f>IF($H36="","",IFERROR(INDEX('Settings'!$J$10:$J$39,MATCH($H36,'Settings'!$I$10:$I$39,0)),""))</f>
        <v/>
      </c>
      <c r="J36" s="6" t="n">
        <v>1</v>
      </c>
      <c r="K36" s="8" t="n">
        <v>600</v>
      </c>
      <c r="L36" s="8" t="n"/>
      <c r="M36" s="14">
        <f>IF($A36="","",$J36*$K36)</f>
        <v/>
      </c>
      <c r="N36" s="14">
        <f>IF($A36="","",$M36-$L36)</f>
        <v/>
      </c>
      <c r="O36" s="4" t="inlineStr">
        <is>
          <t>Card</t>
        </is>
      </c>
      <c r="P36" s="15">
        <f>IF($A36="","",DATE(YEAR($A36),MONTH($A36),1))</f>
        <v/>
      </c>
      <c r="Q36" s="16">
        <f>IF($H36="","",$J36*IFERROR(INDEX('Settings'!$L$10:$L$39,MATCH($H36,'Settings'!$I$10:$I$39,0)),0))</f>
        <v/>
      </c>
      <c r="R36" s="17">
        <f>IF($A36="","",$A36-WEEKDAY($A36,2)+1)</f>
        <v/>
      </c>
    </row>
    <row r="37">
      <c r="A37" s="5" t="n">
        <v>46207</v>
      </c>
      <c r="B37" s="4" t="inlineStr">
        <is>
          <t>North branch</t>
        </is>
      </c>
      <c r="C37" s="4" t="inlineStr">
        <is>
          <t>North 2</t>
        </is>
      </c>
      <c r="D37" s="4" t="inlineStr">
        <is>
          <t>Dr Mohamed Adel</t>
        </is>
      </c>
      <c r="E37" s="4" t="inlineStr">
        <is>
          <t>P-2880</t>
        </is>
      </c>
      <c r="F37" s="4" t="inlineStr">
        <is>
          <t>Returning</t>
        </is>
      </c>
      <c r="G37" s="4" t="inlineStr">
        <is>
          <t>Instagram</t>
        </is>
      </c>
      <c r="H37" s="4" t="inlineStr">
        <is>
          <t>Physiotherapy session</t>
        </is>
      </c>
      <c r="I37" s="9">
        <f>IF($H37="","",IFERROR(INDEX('Settings'!$J$10:$J$39,MATCH($H37,'Settings'!$I$10:$I$39,0)),""))</f>
        <v/>
      </c>
      <c r="J37" s="6" t="n">
        <v>1</v>
      </c>
      <c r="K37" s="8" t="n">
        <v>300</v>
      </c>
      <c r="L37" s="8" t="n"/>
      <c r="M37" s="14">
        <f>IF($A37="","",$J37*$K37)</f>
        <v/>
      </c>
      <c r="N37" s="14">
        <f>IF($A37="","",$M37-$L37)</f>
        <v/>
      </c>
      <c r="O37" s="4" t="inlineStr">
        <is>
          <t>Card</t>
        </is>
      </c>
      <c r="P37" s="15">
        <f>IF($A37="","",DATE(YEAR($A37),MONTH($A37),1))</f>
        <v/>
      </c>
      <c r="Q37" s="16">
        <f>IF($H37="","",$J37*IFERROR(INDEX('Settings'!$L$10:$L$39,MATCH($H37,'Settings'!$I$10:$I$39,0)),0))</f>
        <v/>
      </c>
      <c r="R37" s="17">
        <f>IF($A37="","",$A37-WEEKDAY($A37,2)+1)</f>
        <v/>
      </c>
    </row>
    <row r="38">
      <c r="A38" s="5" t="n">
        <v>46207</v>
      </c>
      <c r="B38" s="4" t="inlineStr">
        <is>
          <t>North branch</t>
        </is>
      </c>
      <c r="C38" s="4" t="inlineStr">
        <is>
          <t>North 2</t>
        </is>
      </c>
      <c r="D38" s="4" t="inlineStr">
        <is>
          <t>Dr Mohamed Adel</t>
        </is>
      </c>
      <c r="E38" s="4" t="inlineStr">
        <is>
          <t>P-3274</t>
        </is>
      </c>
      <c r="F38" s="4" t="inlineStr">
        <is>
          <t>New</t>
        </is>
      </c>
      <c r="G38" s="4" t="inlineStr">
        <is>
          <t>Google</t>
        </is>
      </c>
      <c r="H38" s="4" t="inlineStr">
        <is>
          <t>Facial cleansing</t>
        </is>
      </c>
      <c r="I38" s="9">
        <f>IF($H38="","",IFERROR(INDEX('Settings'!$J$10:$J$39,MATCH($H38,'Settings'!$I$10:$I$39,0)),""))</f>
        <v/>
      </c>
      <c r="J38" s="6" t="n">
        <v>1</v>
      </c>
      <c r="K38" s="8" t="n">
        <v>400</v>
      </c>
      <c r="L38" s="8" t="n"/>
      <c r="M38" s="14">
        <f>IF($A38="","",$J38*$K38)</f>
        <v/>
      </c>
      <c r="N38" s="14">
        <f>IF($A38="","",$M38-$L38)</f>
        <v/>
      </c>
      <c r="O38" s="4" t="inlineStr">
        <is>
          <t>Card</t>
        </is>
      </c>
      <c r="P38" s="15">
        <f>IF($A38="","",DATE(YEAR($A38),MONTH($A38),1))</f>
        <v/>
      </c>
      <c r="Q38" s="16">
        <f>IF($H38="","",$J38*IFERROR(INDEX('Settings'!$L$10:$L$39,MATCH($H38,'Settings'!$I$10:$I$39,0)),0))</f>
        <v/>
      </c>
      <c r="R38" s="17">
        <f>IF($A38="","",$A38-WEEKDAY($A38,2)+1)</f>
        <v/>
      </c>
    </row>
    <row r="39">
      <c r="A39" s="5" t="n">
        <v>46207</v>
      </c>
      <c r="B39" s="4" t="inlineStr">
        <is>
          <t>North branch</t>
        </is>
      </c>
      <c r="C39" s="4" t="inlineStr">
        <is>
          <t>North 2</t>
        </is>
      </c>
      <c r="D39" s="4" t="inlineStr">
        <is>
          <t>Dr Layla Al Qahtani</t>
        </is>
      </c>
      <c r="E39" s="4" t="inlineStr">
        <is>
          <t>P-3452</t>
        </is>
      </c>
      <c r="F39" s="4" t="inlineStr">
        <is>
          <t>Returning</t>
        </is>
      </c>
      <c r="G39" s="4" t="inlineStr">
        <is>
          <t>Google</t>
        </is>
      </c>
      <c r="H39" s="4" t="inlineStr">
        <is>
          <t>Botulinum toxin</t>
        </is>
      </c>
      <c r="I39" s="9">
        <f>IF($H39="","",IFERROR(INDEX('Settings'!$J$10:$J$39,MATCH($H39,'Settings'!$I$10:$I$39,0)),""))</f>
        <v/>
      </c>
      <c r="J39" s="6" t="n">
        <v>1</v>
      </c>
      <c r="K39" s="8" t="n">
        <v>1500</v>
      </c>
      <c r="L39" s="8" t="n"/>
      <c r="M39" s="14">
        <f>IF($A39="","",$J39*$K39)</f>
        <v/>
      </c>
      <c r="N39" s="14">
        <f>IF($A39="","",$M39-$L39)</f>
        <v/>
      </c>
      <c r="O39" s="4" t="inlineStr">
        <is>
          <t>Card</t>
        </is>
      </c>
      <c r="P39" s="15">
        <f>IF($A39="","",DATE(YEAR($A39),MONTH($A39),1))</f>
        <v/>
      </c>
      <c r="Q39" s="16">
        <f>IF($H39="","",$J39*IFERROR(INDEX('Settings'!$L$10:$L$39,MATCH($H39,'Settings'!$I$10:$I$39,0)),0))</f>
        <v/>
      </c>
      <c r="R39" s="17">
        <f>IF($A39="","",$A39-WEEKDAY($A39,2)+1)</f>
        <v/>
      </c>
    </row>
    <row r="40">
      <c r="A40" s="5" t="n">
        <v>46208</v>
      </c>
      <c r="B40" s="4" t="inlineStr">
        <is>
          <t>Main branch</t>
        </is>
      </c>
      <c r="C40" s="4" t="inlineStr">
        <is>
          <t>Main 1</t>
        </is>
      </c>
      <c r="D40" s="4" t="inlineStr">
        <is>
          <t>Dr Ahmed Mansour</t>
        </is>
      </c>
      <c r="E40" s="4" t="inlineStr">
        <is>
          <t>P-2391</t>
        </is>
      </c>
      <c r="F40" s="4" t="inlineStr">
        <is>
          <t>Returning</t>
        </is>
      </c>
      <c r="G40" s="4" t="inlineStr">
        <is>
          <t>Referral</t>
        </is>
      </c>
      <c r="H40" s="4" t="inlineStr">
        <is>
          <t>Specialist consultation</t>
        </is>
      </c>
      <c r="I40" s="9">
        <f>IF($H40="","",IFERROR(INDEX('Settings'!$J$10:$J$39,MATCH($H40,'Settings'!$I$10:$I$39,0)),""))</f>
        <v/>
      </c>
      <c r="J40" s="6" t="n">
        <v>1</v>
      </c>
      <c r="K40" s="8" t="n">
        <v>350</v>
      </c>
      <c r="L40" s="8" t="n"/>
      <c r="M40" s="14">
        <f>IF($A40="","",$J40*$K40)</f>
        <v/>
      </c>
      <c r="N40" s="14">
        <f>IF($A40="","",$M40-$L40)</f>
        <v/>
      </c>
      <c r="O40" s="4" t="inlineStr">
        <is>
          <t>Cash</t>
        </is>
      </c>
      <c r="P40" s="15">
        <f>IF($A40="","",DATE(YEAR($A40),MONTH($A40),1))</f>
        <v/>
      </c>
      <c r="Q40" s="16">
        <f>IF($H40="","",$J40*IFERROR(INDEX('Settings'!$L$10:$L$39,MATCH($H40,'Settings'!$I$10:$I$39,0)),0))</f>
        <v/>
      </c>
      <c r="R40" s="17">
        <f>IF($A40="","",$A40-WEEKDAY($A40,2)+1)</f>
        <v/>
      </c>
    </row>
    <row r="41">
      <c r="A41" s="5" t="n">
        <v>46208</v>
      </c>
      <c r="B41" s="4" t="inlineStr">
        <is>
          <t>Main branch</t>
        </is>
      </c>
      <c r="C41" s="4" t="inlineStr">
        <is>
          <t>Main 2</t>
        </is>
      </c>
      <c r="D41" s="4" t="inlineStr">
        <is>
          <t>Dr Sara Al Harbi</t>
        </is>
      </c>
      <c r="E41" s="4" t="inlineStr">
        <is>
          <t>P-2855</t>
        </is>
      </c>
      <c r="F41" s="4" t="inlineStr">
        <is>
          <t>Returning</t>
        </is>
      </c>
      <c r="G41" s="4" t="inlineStr">
        <is>
          <t>Referral</t>
        </is>
      </c>
      <c r="H41" s="4" t="inlineStr">
        <is>
          <t>Physiotherapy session</t>
        </is>
      </c>
      <c r="I41" s="9">
        <f>IF($H41="","",IFERROR(INDEX('Settings'!$J$10:$J$39,MATCH($H41,'Settings'!$I$10:$I$39,0)),""))</f>
        <v/>
      </c>
      <c r="J41" s="6" t="n">
        <v>1</v>
      </c>
      <c r="K41" s="8" t="n">
        <v>300</v>
      </c>
      <c r="L41" s="8" t="n">
        <v>30</v>
      </c>
      <c r="M41" s="14">
        <f>IF($A41="","",$J41*$K41)</f>
        <v/>
      </c>
      <c r="N41" s="14">
        <f>IF($A41="","",$M41-$L41)</f>
        <v/>
      </c>
      <c r="O41" s="4" t="inlineStr">
        <is>
          <t>Card</t>
        </is>
      </c>
      <c r="P41" s="15">
        <f>IF($A41="","",DATE(YEAR($A41),MONTH($A41),1))</f>
        <v/>
      </c>
      <c r="Q41" s="16">
        <f>IF($H41="","",$J41*IFERROR(INDEX('Settings'!$L$10:$L$39,MATCH($H41,'Settings'!$I$10:$I$39,0)),0))</f>
        <v/>
      </c>
      <c r="R41" s="17">
        <f>IF($A41="","",$A41-WEEKDAY($A41,2)+1)</f>
        <v/>
      </c>
    </row>
    <row r="42">
      <c r="A42" s="5" t="n">
        <v>46208</v>
      </c>
      <c r="B42" s="4" t="inlineStr">
        <is>
          <t>Main branch</t>
        </is>
      </c>
      <c r="C42" s="4" t="inlineStr">
        <is>
          <t>Main 2</t>
        </is>
      </c>
      <c r="D42" s="4" t="inlineStr">
        <is>
          <t>Dr Sara Al Harbi</t>
        </is>
      </c>
      <c r="E42" s="4" t="inlineStr">
        <is>
          <t>P-3191</t>
        </is>
      </c>
      <c r="F42" s="4" t="inlineStr">
        <is>
          <t>Returning</t>
        </is>
      </c>
      <c r="G42" s="4" t="inlineStr">
        <is>
          <t>Walk-in</t>
        </is>
      </c>
      <c r="H42" s="4" t="inlineStr">
        <is>
          <t>Sunscreen cream</t>
        </is>
      </c>
      <c r="I42" s="9">
        <f>IF($H42="","",IFERROR(INDEX('Settings'!$J$10:$J$39,MATCH($H42,'Settings'!$I$10:$I$39,0)),""))</f>
        <v/>
      </c>
      <c r="J42" s="6" t="n">
        <v>1</v>
      </c>
      <c r="K42" s="8" t="n">
        <v>120</v>
      </c>
      <c r="L42" s="8" t="n"/>
      <c r="M42" s="14">
        <f>IF($A42="","",$J42*$K42)</f>
        <v/>
      </c>
      <c r="N42" s="14">
        <f>IF($A42="","",$M42-$L42)</f>
        <v/>
      </c>
      <c r="O42" s="4" t="inlineStr">
        <is>
          <t>Insurance</t>
        </is>
      </c>
      <c r="P42" s="15">
        <f>IF($A42="","",DATE(YEAR($A42),MONTH($A42),1))</f>
        <v/>
      </c>
      <c r="Q42" s="16">
        <f>IF($H42="","",$J42*IFERROR(INDEX('Settings'!$L$10:$L$39,MATCH($H42,'Settings'!$I$10:$I$39,0)),0))</f>
        <v/>
      </c>
      <c r="R42" s="17">
        <f>IF($A42="","",$A42-WEEKDAY($A42,2)+1)</f>
        <v/>
      </c>
    </row>
    <row r="43">
      <c r="A43" s="5" t="n">
        <v>46208</v>
      </c>
      <c r="B43" s="4" t="inlineStr">
        <is>
          <t>Main branch</t>
        </is>
      </c>
      <c r="C43" s="4" t="inlineStr">
        <is>
          <t>Main 3</t>
        </is>
      </c>
      <c r="D43" s="4" t="inlineStr">
        <is>
          <t>Dr Sara Al Harbi</t>
        </is>
      </c>
      <c r="E43" s="4" t="inlineStr">
        <is>
          <t>P-3174</t>
        </is>
      </c>
      <c r="F43" s="4" t="inlineStr">
        <is>
          <t>Returning</t>
        </is>
      </c>
      <c r="G43" s="4" t="inlineStr">
        <is>
          <t>WhatsApp</t>
        </is>
      </c>
      <c r="H43" s="4" t="inlineStr">
        <is>
          <t>Botulinum toxin</t>
        </is>
      </c>
      <c r="I43" s="9">
        <f>IF($H43="","",IFERROR(INDEX('Settings'!$J$10:$J$39,MATCH($H43,'Settings'!$I$10:$I$39,0)),""))</f>
        <v/>
      </c>
      <c r="J43" s="6" t="n">
        <v>1</v>
      </c>
      <c r="K43" s="8" t="n">
        <v>1500</v>
      </c>
      <c r="L43" s="8" t="n"/>
      <c r="M43" s="14">
        <f>IF($A43="","",$J43*$K43)</f>
        <v/>
      </c>
      <c r="N43" s="14">
        <f>IF($A43="","",$M43-$L43)</f>
        <v/>
      </c>
      <c r="O43" s="4" t="inlineStr">
        <is>
          <t>Cash</t>
        </is>
      </c>
      <c r="P43" s="15">
        <f>IF($A43="","",DATE(YEAR($A43),MONTH($A43),1))</f>
        <v/>
      </c>
      <c r="Q43" s="16">
        <f>IF($H43="","",$J43*IFERROR(INDEX('Settings'!$L$10:$L$39,MATCH($H43,'Settings'!$I$10:$I$39,0)),0))</f>
        <v/>
      </c>
      <c r="R43" s="17">
        <f>IF($A43="","",$A43-WEEKDAY($A43,2)+1)</f>
        <v/>
      </c>
    </row>
    <row r="44">
      <c r="A44" s="5" t="n">
        <v>46208</v>
      </c>
      <c r="B44" s="4" t="inlineStr">
        <is>
          <t>Main branch</t>
        </is>
      </c>
      <c r="C44" s="4" t="inlineStr">
        <is>
          <t>Main 4</t>
        </is>
      </c>
      <c r="D44" s="4" t="inlineStr">
        <is>
          <t>Dr Noura Al Subaie</t>
        </is>
      </c>
      <c r="E44" s="4" t="inlineStr">
        <is>
          <t>P-3235</t>
        </is>
      </c>
      <c r="F44" s="4" t="inlineStr">
        <is>
          <t>Returning</t>
        </is>
      </c>
      <c r="G44" s="4" t="inlineStr">
        <is>
          <t>Walk-in</t>
        </is>
      </c>
      <c r="H44" s="4" t="inlineStr">
        <is>
          <t>Facial cleansing</t>
        </is>
      </c>
      <c r="I44" s="9">
        <f>IF($H44="","",IFERROR(INDEX('Settings'!$J$10:$J$39,MATCH($H44,'Settings'!$I$10:$I$39,0)),""))</f>
        <v/>
      </c>
      <c r="J44" s="6" t="n">
        <v>1</v>
      </c>
      <c r="K44" s="8" t="n">
        <v>400</v>
      </c>
      <c r="L44" s="8" t="n"/>
      <c r="M44" s="14">
        <f>IF($A44="","",$J44*$K44)</f>
        <v/>
      </c>
      <c r="N44" s="14">
        <f>IF($A44="","",$M44-$L44)</f>
        <v/>
      </c>
      <c r="O44" s="4" t="inlineStr">
        <is>
          <t>Card</t>
        </is>
      </c>
      <c r="P44" s="15">
        <f>IF($A44="","",DATE(YEAR($A44),MONTH($A44),1))</f>
        <v/>
      </c>
      <c r="Q44" s="16">
        <f>IF($H44="","",$J44*IFERROR(INDEX('Settings'!$L$10:$L$39,MATCH($H44,'Settings'!$I$10:$I$39,0)),0))</f>
        <v/>
      </c>
      <c r="R44" s="17">
        <f>IF($A44="","",$A44-WEEKDAY($A44,2)+1)</f>
        <v/>
      </c>
    </row>
    <row r="45">
      <c r="A45" s="5" t="n">
        <v>46208</v>
      </c>
      <c r="B45" s="4" t="inlineStr">
        <is>
          <t>Main branch</t>
        </is>
      </c>
      <c r="C45" s="4" t="inlineStr">
        <is>
          <t>Main 4</t>
        </is>
      </c>
      <c r="D45" s="4" t="inlineStr">
        <is>
          <t>Dr Sara Al Harbi</t>
        </is>
      </c>
      <c r="E45" s="4" t="inlineStr">
        <is>
          <t>P-2385</t>
        </is>
      </c>
      <c r="F45" s="4" t="inlineStr">
        <is>
          <t>Returning</t>
        </is>
      </c>
      <c r="G45" s="4" t="inlineStr">
        <is>
          <t>Instagram</t>
        </is>
      </c>
      <c r="H45" s="4" t="inlineStr">
        <is>
          <t>Follow-up visit</t>
        </is>
      </c>
      <c r="I45" s="9">
        <f>IF($H45="","",IFERROR(INDEX('Settings'!$J$10:$J$39,MATCH($H45,'Settings'!$I$10:$I$39,0)),""))</f>
        <v/>
      </c>
      <c r="J45" s="6" t="n">
        <v>1</v>
      </c>
      <c r="K45" s="8" t="n">
        <v>150</v>
      </c>
      <c r="L45" s="8" t="n"/>
      <c r="M45" s="14">
        <f>IF($A45="","",$J45*$K45)</f>
        <v/>
      </c>
      <c r="N45" s="14">
        <f>IF($A45="","",$M45-$L45)</f>
        <v/>
      </c>
      <c r="O45" s="4" t="inlineStr">
        <is>
          <t>Payment link</t>
        </is>
      </c>
      <c r="P45" s="15">
        <f>IF($A45="","",DATE(YEAR($A45),MONTH($A45),1))</f>
        <v/>
      </c>
      <c r="Q45" s="16">
        <f>IF($H45="","",$J45*IFERROR(INDEX('Settings'!$L$10:$L$39,MATCH($H45,'Settings'!$I$10:$I$39,0)),0))</f>
        <v/>
      </c>
      <c r="R45" s="17">
        <f>IF($A45="","",$A45-WEEKDAY($A45,2)+1)</f>
        <v/>
      </c>
    </row>
    <row r="46">
      <c r="A46" s="5" t="n">
        <v>46208</v>
      </c>
      <c r="B46" s="4" t="inlineStr">
        <is>
          <t>North branch</t>
        </is>
      </c>
      <c r="C46" s="4" t="inlineStr">
        <is>
          <t>North 1</t>
        </is>
      </c>
      <c r="D46" s="4" t="inlineStr">
        <is>
          <t>Dr Khaled Youssef</t>
        </is>
      </c>
      <c r="E46" s="4" t="inlineStr">
        <is>
          <t>P-3442</t>
        </is>
      </c>
      <c r="F46" s="4" t="inlineStr">
        <is>
          <t>Returning</t>
        </is>
      </c>
      <c r="G46" s="4" t="inlineStr">
        <is>
          <t>Instagram</t>
        </is>
      </c>
      <c r="H46" s="4" t="inlineStr">
        <is>
          <t>Physiotherapy session</t>
        </is>
      </c>
      <c r="I46" s="9">
        <f>IF($H46="","",IFERROR(INDEX('Settings'!$J$10:$J$39,MATCH($H46,'Settings'!$I$10:$I$39,0)),""))</f>
        <v/>
      </c>
      <c r="J46" s="6" t="n">
        <v>1</v>
      </c>
      <c r="K46" s="8" t="n">
        <v>300</v>
      </c>
      <c r="L46" s="8" t="n"/>
      <c r="M46" s="14">
        <f>IF($A46="","",$J46*$K46)</f>
        <v/>
      </c>
      <c r="N46" s="14">
        <f>IF($A46="","",$M46-$L46)</f>
        <v/>
      </c>
      <c r="O46" s="4" t="inlineStr">
        <is>
          <t>Cash</t>
        </is>
      </c>
      <c r="P46" s="15">
        <f>IF($A46="","",DATE(YEAR($A46),MONTH($A46),1))</f>
        <v/>
      </c>
      <c r="Q46" s="16">
        <f>IF($H46="","",$J46*IFERROR(INDEX('Settings'!$L$10:$L$39,MATCH($H46,'Settings'!$I$10:$I$39,0)),0))</f>
        <v/>
      </c>
      <c r="R46" s="17">
        <f>IF($A46="","",$A46-WEEKDAY($A46,2)+1)</f>
        <v/>
      </c>
    </row>
    <row r="47">
      <c r="A47" s="5" t="n">
        <v>46208</v>
      </c>
      <c r="B47" s="4" t="inlineStr">
        <is>
          <t>North branch</t>
        </is>
      </c>
      <c r="C47" s="4" t="inlineStr">
        <is>
          <t>North 1</t>
        </is>
      </c>
      <c r="D47" s="4" t="inlineStr">
        <is>
          <t>Dr Mohamed Adel</t>
        </is>
      </c>
      <c r="E47" s="4" t="inlineStr">
        <is>
          <t>P-3380</t>
        </is>
      </c>
      <c r="F47" s="4" t="inlineStr">
        <is>
          <t>New</t>
        </is>
      </c>
      <c r="G47" s="4" t="inlineStr">
        <is>
          <t>Referral</t>
        </is>
      </c>
      <c r="H47" s="4" t="inlineStr">
        <is>
          <t>Follow-up visit</t>
        </is>
      </c>
      <c r="I47" s="9">
        <f>IF($H47="","",IFERROR(INDEX('Settings'!$J$10:$J$39,MATCH($H47,'Settings'!$I$10:$I$39,0)),""))</f>
        <v/>
      </c>
      <c r="J47" s="6" t="n">
        <v>1</v>
      </c>
      <c r="K47" s="8" t="n">
        <v>150</v>
      </c>
      <c r="L47" s="8" t="n"/>
      <c r="M47" s="14">
        <f>IF($A47="","",$J47*$K47)</f>
        <v/>
      </c>
      <c r="N47" s="14">
        <f>IF($A47="","",$M47-$L47)</f>
        <v/>
      </c>
      <c r="O47" s="4" t="inlineStr">
        <is>
          <t>Cash</t>
        </is>
      </c>
      <c r="P47" s="15">
        <f>IF($A47="","",DATE(YEAR($A47),MONTH($A47),1))</f>
        <v/>
      </c>
      <c r="Q47" s="16">
        <f>IF($H47="","",$J47*IFERROR(INDEX('Settings'!$L$10:$L$39,MATCH($H47,'Settings'!$I$10:$I$39,0)),0))</f>
        <v/>
      </c>
      <c r="R47" s="17">
        <f>IF($A47="","",$A47-WEEKDAY($A47,2)+1)</f>
        <v/>
      </c>
    </row>
    <row r="48">
      <c r="A48" s="5" t="n">
        <v>46208</v>
      </c>
      <c r="B48" s="4" t="inlineStr">
        <is>
          <t>North branch</t>
        </is>
      </c>
      <c r="C48" s="4" t="inlineStr">
        <is>
          <t>North 1</t>
        </is>
      </c>
      <c r="D48" s="4" t="inlineStr">
        <is>
          <t>Dr Mohamed Adel</t>
        </is>
      </c>
      <c r="E48" s="4" t="inlineStr">
        <is>
          <t>P-3354</t>
        </is>
      </c>
      <c r="F48" s="4" t="inlineStr">
        <is>
          <t>Returning</t>
        </is>
      </c>
      <c r="G48" s="4" t="inlineStr">
        <is>
          <t>Instagram</t>
        </is>
      </c>
      <c r="H48" s="4" t="inlineStr">
        <is>
          <t>Laser session, body</t>
        </is>
      </c>
      <c r="I48" s="9">
        <f>IF($H48="","",IFERROR(INDEX('Settings'!$J$10:$J$39,MATCH($H48,'Settings'!$I$10:$I$39,0)),""))</f>
        <v/>
      </c>
      <c r="J48" s="6" t="n">
        <v>1</v>
      </c>
      <c r="K48" s="8" t="n">
        <v>1200</v>
      </c>
      <c r="L48" s="8" t="n"/>
      <c r="M48" s="14">
        <f>IF($A48="","",$J48*$K48)</f>
        <v/>
      </c>
      <c r="N48" s="14">
        <f>IF($A48="","",$M48-$L48)</f>
        <v/>
      </c>
      <c r="O48" s="4" t="inlineStr">
        <is>
          <t>Card</t>
        </is>
      </c>
      <c r="P48" s="15">
        <f>IF($A48="","",DATE(YEAR($A48),MONTH($A48),1))</f>
        <v/>
      </c>
      <c r="Q48" s="16">
        <f>IF($H48="","",$J48*IFERROR(INDEX('Settings'!$L$10:$L$39,MATCH($H48,'Settings'!$I$10:$I$39,0)),0))</f>
        <v/>
      </c>
      <c r="R48" s="17">
        <f>IF($A48="","",$A48-WEEKDAY($A48,2)+1)</f>
        <v/>
      </c>
    </row>
    <row r="49">
      <c r="A49" s="5" t="n">
        <v>46208</v>
      </c>
      <c r="B49" s="4" t="inlineStr">
        <is>
          <t>North branch</t>
        </is>
      </c>
      <c r="C49" s="4" t="inlineStr">
        <is>
          <t>North 1</t>
        </is>
      </c>
      <c r="D49" s="4" t="inlineStr">
        <is>
          <t>Dr Layla Al Qahtani</t>
        </is>
      </c>
      <c r="E49" s="4" t="inlineStr">
        <is>
          <t>P-3005</t>
        </is>
      </c>
      <c r="F49" s="4" t="inlineStr">
        <is>
          <t>New</t>
        </is>
      </c>
      <c r="G49" s="4" t="inlineStr">
        <is>
          <t>Instagram</t>
        </is>
      </c>
      <c r="H49" s="4" t="inlineStr">
        <is>
          <t>Chemical peel</t>
        </is>
      </c>
      <c r="I49" s="9">
        <f>IF($H49="","",IFERROR(INDEX('Settings'!$J$10:$J$39,MATCH($H49,'Settings'!$I$10:$I$39,0)),""))</f>
        <v/>
      </c>
      <c r="J49" s="6" t="n">
        <v>1</v>
      </c>
      <c r="K49" s="8" t="n">
        <v>800</v>
      </c>
      <c r="L49" s="8" t="n"/>
      <c r="M49" s="14">
        <f>IF($A49="","",$J49*$K49)</f>
        <v/>
      </c>
      <c r="N49" s="14">
        <f>IF($A49="","",$M49-$L49)</f>
        <v/>
      </c>
      <c r="O49" s="4" t="inlineStr">
        <is>
          <t>Card</t>
        </is>
      </c>
      <c r="P49" s="15">
        <f>IF($A49="","",DATE(YEAR($A49),MONTH($A49),1))</f>
        <v/>
      </c>
      <c r="Q49" s="16">
        <f>IF($H49="","",$J49*IFERROR(INDEX('Settings'!$L$10:$L$39,MATCH($H49,'Settings'!$I$10:$I$39,0)),0))</f>
        <v/>
      </c>
      <c r="R49" s="17">
        <f>IF($A49="","",$A49-WEEKDAY($A49,2)+1)</f>
        <v/>
      </c>
    </row>
    <row r="50">
      <c r="A50" s="5" t="n">
        <v>46208</v>
      </c>
      <c r="B50" s="4" t="inlineStr">
        <is>
          <t>North branch</t>
        </is>
      </c>
      <c r="C50" s="4" t="inlineStr">
        <is>
          <t>North 1</t>
        </is>
      </c>
      <c r="D50" s="4" t="inlineStr">
        <is>
          <t>Dr Mohamed Adel</t>
        </is>
      </c>
      <c r="E50" s="4" t="inlineStr">
        <is>
          <t>P-2800</t>
        </is>
      </c>
      <c r="F50" s="4" t="inlineStr">
        <is>
          <t>New</t>
        </is>
      </c>
      <c r="G50" s="4" t="inlineStr">
        <is>
          <t>Instagram</t>
        </is>
      </c>
      <c r="H50" s="4" t="inlineStr">
        <is>
          <t>Follow-up visit</t>
        </is>
      </c>
      <c r="I50" s="9">
        <f>IF($H50="","",IFERROR(INDEX('Settings'!$J$10:$J$39,MATCH($H50,'Settings'!$I$10:$I$39,0)),""))</f>
        <v/>
      </c>
      <c r="J50" s="6" t="n">
        <v>1</v>
      </c>
      <c r="K50" s="8" t="n">
        <v>150</v>
      </c>
      <c r="L50" s="8" t="n"/>
      <c r="M50" s="14">
        <f>IF($A50="","",$J50*$K50)</f>
        <v/>
      </c>
      <c r="N50" s="14">
        <f>IF($A50="","",$M50-$L50)</f>
        <v/>
      </c>
      <c r="O50" s="4" t="inlineStr">
        <is>
          <t>Payment link</t>
        </is>
      </c>
      <c r="P50" s="15">
        <f>IF($A50="","",DATE(YEAR($A50),MONTH($A50),1))</f>
        <v/>
      </c>
      <c r="Q50" s="16">
        <f>IF($H50="","",$J50*IFERROR(INDEX('Settings'!$L$10:$L$39,MATCH($H50,'Settings'!$I$10:$I$39,0)),0))</f>
        <v/>
      </c>
      <c r="R50" s="17">
        <f>IF($A50="","",$A50-WEEKDAY($A50,2)+1)</f>
        <v/>
      </c>
    </row>
    <row r="51">
      <c r="A51" s="5" t="n">
        <v>46208</v>
      </c>
      <c r="B51" s="4" t="inlineStr">
        <is>
          <t>North branch</t>
        </is>
      </c>
      <c r="C51" s="4" t="inlineStr">
        <is>
          <t>North 1</t>
        </is>
      </c>
      <c r="D51" s="4" t="inlineStr">
        <is>
          <t>Dr Mohamed Adel</t>
        </is>
      </c>
      <c r="E51" s="4" t="inlineStr">
        <is>
          <t>P-2882</t>
        </is>
      </c>
      <c r="F51" s="4" t="inlineStr">
        <is>
          <t>Returning</t>
        </is>
      </c>
      <c r="G51" s="4" t="inlineStr">
        <is>
          <t>Google</t>
        </is>
      </c>
      <c r="H51" s="4" t="inlineStr">
        <is>
          <t>Botulinum toxin</t>
        </is>
      </c>
      <c r="I51" s="9">
        <f>IF($H51="","",IFERROR(INDEX('Settings'!$J$10:$J$39,MATCH($H51,'Settings'!$I$10:$I$39,0)),""))</f>
        <v/>
      </c>
      <c r="J51" s="6" t="n">
        <v>1</v>
      </c>
      <c r="K51" s="8" t="n">
        <v>1500</v>
      </c>
      <c r="L51" s="8" t="n"/>
      <c r="M51" s="14">
        <f>IF($A51="","",$J51*$K51)</f>
        <v/>
      </c>
      <c r="N51" s="14">
        <f>IF($A51="","",$M51-$L51)</f>
        <v/>
      </c>
      <c r="O51" s="4" t="inlineStr">
        <is>
          <t>Card</t>
        </is>
      </c>
      <c r="P51" s="15">
        <f>IF($A51="","",DATE(YEAR($A51),MONTH($A51),1))</f>
        <v/>
      </c>
      <c r="Q51" s="16">
        <f>IF($H51="","",$J51*IFERROR(INDEX('Settings'!$L$10:$L$39,MATCH($H51,'Settings'!$I$10:$I$39,0)),0))</f>
        <v/>
      </c>
      <c r="R51" s="17">
        <f>IF($A51="","",$A51-WEEKDAY($A51,2)+1)</f>
        <v/>
      </c>
    </row>
    <row r="52">
      <c r="A52" s="5" t="n">
        <v>46208</v>
      </c>
      <c r="B52" s="4" t="inlineStr">
        <is>
          <t>North branch</t>
        </is>
      </c>
      <c r="C52" s="4" t="inlineStr">
        <is>
          <t>North 2</t>
        </is>
      </c>
      <c r="D52" s="4" t="inlineStr">
        <is>
          <t>Dr Khaled Youssef</t>
        </is>
      </c>
      <c r="E52" s="4" t="inlineStr">
        <is>
          <t>P-2419</t>
        </is>
      </c>
      <c r="F52" s="4" t="inlineStr">
        <is>
          <t>Returning</t>
        </is>
      </c>
      <c r="G52" s="4" t="inlineStr">
        <is>
          <t>WhatsApp</t>
        </is>
      </c>
      <c r="H52" s="4" t="inlineStr">
        <is>
          <t>Sunscreen cream</t>
        </is>
      </c>
      <c r="I52" s="9">
        <f>IF($H52="","",IFERROR(INDEX('Settings'!$J$10:$J$39,MATCH($H52,'Settings'!$I$10:$I$39,0)),""))</f>
        <v/>
      </c>
      <c r="J52" s="6" t="n">
        <v>1</v>
      </c>
      <c r="K52" s="8" t="n">
        <v>120</v>
      </c>
      <c r="L52" s="8" t="n"/>
      <c r="M52" s="14">
        <f>IF($A52="","",$J52*$K52)</f>
        <v/>
      </c>
      <c r="N52" s="14">
        <f>IF($A52="","",$M52-$L52)</f>
        <v/>
      </c>
      <c r="O52" s="4" t="inlineStr">
        <is>
          <t>Card</t>
        </is>
      </c>
      <c r="P52" s="15">
        <f>IF($A52="","",DATE(YEAR($A52),MONTH($A52),1))</f>
        <v/>
      </c>
      <c r="Q52" s="16">
        <f>IF($H52="","",$J52*IFERROR(INDEX('Settings'!$L$10:$L$39,MATCH($H52,'Settings'!$I$10:$I$39,0)),0))</f>
        <v/>
      </c>
      <c r="R52" s="17">
        <f>IF($A52="","",$A52-WEEKDAY($A52,2)+1)</f>
        <v/>
      </c>
    </row>
    <row r="53">
      <c r="A53" s="5" t="n">
        <v>46208</v>
      </c>
      <c r="B53" s="4" t="inlineStr">
        <is>
          <t>North branch</t>
        </is>
      </c>
      <c r="C53" s="4" t="inlineStr">
        <is>
          <t>North 2</t>
        </is>
      </c>
      <c r="D53" s="4" t="inlineStr">
        <is>
          <t>Dr Mohamed Adel</t>
        </is>
      </c>
      <c r="E53" s="4" t="inlineStr">
        <is>
          <t>P-2701</t>
        </is>
      </c>
      <c r="F53" s="4" t="inlineStr">
        <is>
          <t>New</t>
        </is>
      </c>
      <c r="G53" s="4" t="inlineStr">
        <is>
          <t>WhatsApp</t>
        </is>
      </c>
      <c r="H53" s="4" t="inlineStr">
        <is>
          <t>Specialist consultation</t>
        </is>
      </c>
      <c r="I53" s="9">
        <f>IF($H53="","",IFERROR(INDEX('Settings'!$J$10:$J$39,MATCH($H53,'Settings'!$I$10:$I$39,0)),""))</f>
        <v/>
      </c>
      <c r="J53" s="6" t="n">
        <v>1</v>
      </c>
      <c r="K53" s="8" t="n">
        <v>350</v>
      </c>
      <c r="L53" s="8" t="n"/>
      <c r="M53" s="14">
        <f>IF($A53="","",$J53*$K53)</f>
        <v/>
      </c>
      <c r="N53" s="14">
        <f>IF($A53="","",$M53-$L53)</f>
        <v/>
      </c>
      <c r="O53" s="4" t="inlineStr">
        <is>
          <t>Card</t>
        </is>
      </c>
      <c r="P53" s="15">
        <f>IF($A53="","",DATE(YEAR($A53),MONTH($A53),1))</f>
        <v/>
      </c>
      <c r="Q53" s="16">
        <f>IF($H53="","",$J53*IFERROR(INDEX('Settings'!$L$10:$L$39,MATCH($H53,'Settings'!$I$10:$I$39,0)),0))</f>
        <v/>
      </c>
      <c r="R53" s="17">
        <f>IF($A53="","",$A53-WEEKDAY($A53,2)+1)</f>
        <v/>
      </c>
    </row>
    <row r="54">
      <c r="A54" s="5" t="n">
        <v>46208</v>
      </c>
      <c r="B54" s="4" t="inlineStr">
        <is>
          <t>North branch</t>
        </is>
      </c>
      <c r="C54" s="4" t="inlineStr">
        <is>
          <t>North 2</t>
        </is>
      </c>
      <c r="D54" s="4" t="inlineStr">
        <is>
          <t>Dr Khaled Youssef</t>
        </is>
      </c>
      <c r="E54" s="4" t="inlineStr">
        <is>
          <t>P-2161</t>
        </is>
      </c>
      <c r="F54" s="4" t="inlineStr">
        <is>
          <t>New</t>
        </is>
      </c>
      <c r="G54" s="4" t="inlineStr">
        <is>
          <t>Instagram</t>
        </is>
      </c>
      <c r="H54" s="4" t="inlineStr">
        <is>
          <t>Facial cleansing</t>
        </is>
      </c>
      <c r="I54" s="9">
        <f>IF($H54="","",IFERROR(INDEX('Settings'!$J$10:$J$39,MATCH($H54,'Settings'!$I$10:$I$39,0)),""))</f>
        <v/>
      </c>
      <c r="J54" s="6" t="n">
        <v>1</v>
      </c>
      <c r="K54" s="8" t="n">
        <v>400</v>
      </c>
      <c r="L54" s="8" t="n">
        <v>80</v>
      </c>
      <c r="M54" s="14">
        <f>IF($A54="","",$J54*$K54)</f>
        <v/>
      </c>
      <c r="N54" s="14">
        <f>IF($A54="","",$M54-$L54)</f>
        <v/>
      </c>
      <c r="O54" s="4" t="inlineStr">
        <is>
          <t>Transfer</t>
        </is>
      </c>
      <c r="P54" s="15">
        <f>IF($A54="","",DATE(YEAR($A54),MONTH($A54),1))</f>
        <v/>
      </c>
      <c r="Q54" s="16">
        <f>IF($H54="","",$J54*IFERROR(INDEX('Settings'!$L$10:$L$39,MATCH($H54,'Settings'!$I$10:$I$39,0)),0))</f>
        <v/>
      </c>
      <c r="R54" s="17">
        <f>IF($A54="","",$A54-WEEKDAY($A54,2)+1)</f>
        <v/>
      </c>
    </row>
    <row r="55">
      <c r="A55" s="5" t="n">
        <v>46208</v>
      </c>
      <c r="B55" s="4" t="inlineStr">
        <is>
          <t>North branch</t>
        </is>
      </c>
      <c r="C55" s="4" t="inlineStr">
        <is>
          <t>North 2</t>
        </is>
      </c>
      <c r="D55" s="4" t="inlineStr">
        <is>
          <t>Dr Layla Al Qahtani</t>
        </is>
      </c>
      <c r="E55" s="4" t="inlineStr">
        <is>
          <t>P-2232</t>
        </is>
      </c>
      <c r="F55" s="4" t="inlineStr">
        <is>
          <t>Returning</t>
        </is>
      </c>
      <c r="G55" s="4" t="inlineStr">
        <is>
          <t>Instagram</t>
        </is>
      </c>
      <c r="H55" s="4" t="inlineStr">
        <is>
          <t>Chemical peel</t>
        </is>
      </c>
      <c r="I55" s="9">
        <f>IF($H55="","",IFERROR(INDEX('Settings'!$J$10:$J$39,MATCH($H55,'Settings'!$I$10:$I$39,0)),""))</f>
        <v/>
      </c>
      <c r="J55" s="6" t="n">
        <v>1</v>
      </c>
      <c r="K55" s="8" t="n">
        <v>800</v>
      </c>
      <c r="L55" s="8" t="n">
        <v>160</v>
      </c>
      <c r="M55" s="14">
        <f>IF($A55="","",$J55*$K55)</f>
        <v/>
      </c>
      <c r="N55" s="14">
        <f>IF($A55="","",$M55-$L55)</f>
        <v/>
      </c>
      <c r="O55" s="4" t="inlineStr">
        <is>
          <t>Card</t>
        </is>
      </c>
      <c r="P55" s="15">
        <f>IF($A55="","",DATE(YEAR($A55),MONTH($A55),1))</f>
        <v/>
      </c>
      <c r="Q55" s="16">
        <f>IF($H55="","",$J55*IFERROR(INDEX('Settings'!$L$10:$L$39,MATCH($H55,'Settings'!$I$10:$I$39,0)),0))</f>
        <v/>
      </c>
      <c r="R55" s="17">
        <f>IF($A55="","",$A55-WEEKDAY($A55,2)+1)</f>
        <v/>
      </c>
    </row>
    <row r="56">
      <c r="A56" s="5" t="n">
        <v>46208</v>
      </c>
      <c r="B56" s="4" t="inlineStr">
        <is>
          <t>North branch</t>
        </is>
      </c>
      <c r="C56" s="4" t="inlineStr">
        <is>
          <t>North 2</t>
        </is>
      </c>
      <c r="D56" s="4" t="inlineStr">
        <is>
          <t>Dr Mohamed Adel</t>
        </is>
      </c>
      <c r="E56" s="4" t="inlineStr">
        <is>
          <t>P-2385</t>
        </is>
      </c>
      <c r="F56" s="4" t="inlineStr">
        <is>
          <t>Returning</t>
        </is>
      </c>
      <c r="G56" s="4" t="inlineStr">
        <is>
          <t>Google</t>
        </is>
      </c>
      <c r="H56" s="4" t="inlineStr">
        <is>
          <t>Specialist consultation</t>
        </is>
      </c>
      <c r="I56" s="9">
        <f>IF($H56="","",IFERROR(INDEX('Settings'!$J$10:$J$39,MATCH($H56,'Settings'!$I$10:$I$39,0)),""))</f>
        <v/>
      </c>
      <c r="J56" s="6" t="n">
        <v>1</v>
      </c>
      <c r="K56" s="8" t="n">
        <v>350</v>
      </c>
      <c r="L56" s="8" t="n"/>
      <c r="M56" s="14">
        <f>IF($A56="","",$J56*$K56)</f>
        <v/>
      </c>
      <c r="N56" s="14">
        <f>IF($A56="","",$M56-$L56)</f>
        <v/>
      </c>
      <c r="O56" s="4" t="inlineStr">
        <is>
          <t>Card</t>
        </is>
      </c>
      <c r="P56" s="15">
        <f>IF($A56="","",DATE(YEAR($A56),MONTH($A56),1))</f>
        <v/>
      </c>
      <c r="Q56" s="16">
        <f>IF($H56="","",$J56*IFERROR(INDEX('Settings'!$L$10:$L$39,MATCH($H56,'Settings'!$I$10:$I$39,0)),0))</f>
        <v/>
      </c>
      <c r="R56" s="17">
        <f>IF($A56="","",$A56-WEEKDAY($A56,2)+1)</f>
        <v/>
      </c>
    </row>
    <row r="57">
      <c r="A57" s="5" t="n">
        <v>46209</v>
      </c>
      <c r="B57" s="4" t="inlineStr">
        <is>
          <t>Main branch</t>
        </is>
      </c>
      <c r="C57" s="4" t="inlineStr">
        <is>
          <t>Main 1</t>
        </is>
      </c>
      <c r="D57" s="4" t="inlineStr">
        <is>
          <t>Dr Ahmed Mansour</t>
        </is>
      </c>
      <c r="E57" s="4" t="inlineStr">
        <is>
          <t>P-3100</t>
        </is>
      </c>
      <c r="F57" s="4" t="inlineStr">
        <is>
          <t>New</t>
        </is>
      </c>
      <c r="G57" s="4" t="inlineStr">
        <is>
          <t>WhatsApp</t>
        </is>
      </c>
      <c r="H57" s="4" t="inlineStr">
        <is>
          <t>Follow-up visit</t>
        </is>
      </c>
      <c r="I57" s="9">
        <f>IF($H57="","",IFERROR(INDEX('Settings'!$J$10:$J$39,MATCH($H57,'Settings'!$I$10:$I$39,0)),""))</f>
        <v/>
      </c>
      <c r="J57" s="6" t="n">
        <v>1</v>
      </c>
      <c r="K57" s="8" t="n">
        <v>150</v>
      </c>
      <c r="L57" s="8" t="n"/>
      <c r="M57" s="14">
        <f>IF($A57="","",$J57*$K57)</f>
        <v/>
      </c>
      <c r="N57" s="14">
        <f>IF($A57="","",$M57-$L57)</f>
        <v/>
      </c>
      <c r="O57" s="4" t="inlineStr">
        <is>
          <t>Card</t>
        </is>
      </c>
      <c r="P57" s="15">
        <f>IF($A57="","",DATE(YEAR($A57),MONTH($A57),1))</f>
        <v/>
      </c>
      <c r="Q57" s="16">
        <f>IF($H57="","",$J57*IFERROR(INDEX('Settings'!$L$10:$L$39,MATCH($H57,'Settings'!$I$10:$I$39,0)),0))</f>
        <v/>
      </c>
      <c r="R57" s="17">
        <f>IF($A57="","",$A57-WEEKDAY($A57,2)+1)</f>
        <v/>
      </c>
    </row>
    <row r="58">
      <c r="A58" s="5" t="n">
        <v>46209</v>
      </c>
      <c r="B58" s="4" t="inlineStr">
        <is>
          <t>Main branch</t>
        </is>
      </c>
      <c r="C58" s="4" t="inlineStr">
        <is>
          <t>Main 2</t>
        </is>
      </c>
      <c r="D58" s="4" t="inlineStr">
        <is>
          <t>Dr Sara Al Harbi</t>
        </is>
      </c>
      <c r="E58" s="4" t="inlineStr">
        <is>
          <t>P-2321</t>
        </is>
      </c>
      <c r="F58" s="4" t="inlineStr">
        <is>
          <t>Returning</t>
        </is>
      </c>
      <c r="G58" s="4" t="inlineStr">
        <is>
          <t>WhatsApp</t>
        </is>
      </c>
      <c r="H58" s="4" t="inlineStr">
        <is>
          <t>Sunscreen cream</t>
        </is>
      </c>
      <c r="I58" s="9">
        <f>IF($H58="","",IFERROR(INDEX('Settings'!$J$10:$J$39,MATCH($H58,'Settings'!$I$10:$I$39,0)),""))</f>
        <v/>
      </c>
      <c r="J58" s="6" t="n">
        <v>1</v>
      </c>
      <c r="K58" s="8" t="n">
        <v>120</v>
      </c>
      <c r="L58" s="8" t="n"/>
      <c r="M58" s="14">
        <f>IF($A58="","",$J58*$K58)</f>
        <v/>
      </c>
      <c r="N58" s="14">
        <f>IF($A58="","",$M58-$L58)</f>
        <v/>
      </c>
      <c r="O58" s="4" t="inlineStr">
        <is>
          <t>Card</t>
        </is>
      </c>
      <c r="P58" s="15">
        <f>IF($A58="","",DATE(YEAR($A58),MONTH($A58),1))</f>
        <v/>
      </c>
      <c r="Q58" s="16">
        <f>IF($H58="","",$J58*IFERROR(INDEX('Settings'!$L$10:$L$39,MATCH($H58,'Settings'!$I$10:$I$39,0)),0))</f>
        <v/>
      </c>
      <c r="R58" s="17">
        <f>IF($A58="","",$A58-WEEKDAY($A58,2)+1)</f>
        <v/>
      </c>
    </row>
    <row r="59">
      <c r="A59" s="5" t="n">
        <v>46209</v>
      </c>
      <c r="B59" s="4" t="inlineStr">
        <is>
          <t>Main branch</t>
        </is>
      </c>
      <c r="C59" s="4" t="inlineStr">
        <is>
          <t>Main 2</t>
        </is>
      </c>
      <c r="D59" s="4" t="inlineStr">
        <is>
          <t>Dr Noura Al Subaie</t>
        </is>
      </c>
      <c r="E59" s="4" t="inlineStr">
        <is>
          <t>P-3218</t>
        </is>
      </c>
      <c r="F59" s="4" t="inlineStr">
        <is>
          <t>New</t>
        </is>
      </c>
      <c r="G59" s="4" t="inlineStr">
        <is>
          <t>Instagram</t>
        </is>
      </c>
      <c r="H59" s="4" t="inlineStr">
        <is>
          <t>Laser session, face</t>
        </is>
      </c>
      <c r="I59" s="9">
        <f>IF($H59="","",IFERROR(INDEX('Settings'!$J$10:$J$39,MATCH($H59,'Settings'!$I$10:$I$39,0)),""))</f>
        <v/>
      </c>
      <c r="J59" s="6" t="n">
        <v>1</v>
      </c>
      <c r="K59" s="8" t="n">
        <v>600</v>
      </c>
      <c r="L59" s="8" t="n"/>
      <c r="M59" s="14">
        <f>IF($A59="","",$J59*$K59)</f>
        <v/>
      </c>
      <c r="N59" s="14">
        <f>IF($A59="","",$M59-$L59)</f>
        <v/>
      </c>
      <c r="O59" s="4" t="inlineStr">
        <is>
          <t>Cash</t>
        </is>
      </c>
      <c r="P59" s="15">
        <f>IF($A59="","",DATE(YEAR($A59),MONTH($A59),1))</f>
        <v/>
      </c>
      <c r="Q59" s="16">
        <f>IF($H59="","",$J59*IFERROR(INDEX('Settings'!$L$10:$L$39,MATCH($H59,'Settings'!$I$10:$I$39,0)),0))</f>
        <v/>
      </c>
      <c r="R59" s="17">
        <f>IF($A59="","",$A59-WEEKDAY($A59,2)+1)</f>
        <v/>
      </c>
    </row>
    <row r="60">
      <c r="A60" s="5" t="n">
        <v>46209</v>
      </c>
      <c r="B60" s="4" t="inlineStr">
        <is>
          <t>Main branch</t>
        </is>
      </c>
      <c r="C60" s="4" t="inlineStr">
        <is>
          <t>Main 3</t>
        </is>
      </c>
      <c r="D60" s="4" t="inlineStr">
        <is>
          <t>Dr Noura Al Subaie</t>
        </is>
      </c>
      <c r="E60" s="4" t="inlineStr">
        <is>
          <t>P-2600</t>
        </is>
      </c>
      <c r="F60" s="4" t="inlineStr">
        <is>
          <t>Returning</t>
        </is>
      </c>
      <c r="G60" s="4" t="inlineStr">
        <is>
          <t>WhatsApp</t>
        </is>
      </c>
      <c r="H60" s="4" t="inlineStr">
        <is>
          <t>Vitamin C serum</t>
        </is>
      </c>
      <c r="I60" s="9">
        <f>IF($H60="","",IFERROR(INDEX('Settings'!$J$10:$J$39,MATCH($H60,'Settings'!$I$10:$I$39,0)),""))</f>
        <v/>
      </c>
      <c r="J60" s="6" t="n">
        <v>1</v>
      </c>
      <c r="K60" s="8" t="n">
        <v>220</v>
      </c>
      <c r="L60" s="8" t="n"/>
      <c r="M60" s="14">
        <f>IF($A60="","",$J60*$K60)</f>
        <v/>
      </c>
      <c r="N60" s="14">
        <f>IF($A60="","",$M60-$L60)</f>
        <v/>
      </c>
      <c r="O60" s="4" t="inlineStr">
        <is>
          <t>Cash</t>
        </is>
      </c>
      <c r="P60" s="15">
        <f>IF($A60="","",DATE(YEAR($A60),MONTH($A60),1))</f>
        <v/>
      </c>
      <c r="Q60" s="16">
        <f>IF($H60="","",$J60*IFERROR(INDEX('Settings'!$L$10:$L$39,MATCH($H60,'Settings'!$I$10:$I$39,0)),0))</f>
        <v/>
      </c>
      <c r="R60" s="17">
        <f>IF($A60="","",$A60-WEEKDAY($A60,2)+1)</f>
        <v/>
      </c>
    </row>
    <row r="61">
      <c r="A61" s="5" t="n">
        <v>46209</v>
      </c>
      <c r="B61" s="4" t="inlineStr">
        <is>
          <t>Main branch</t>
        </is>
      </c>
      <c r="C61" s="4" t="inlineStr">
        <is>
          <t>Main 3</t>
        </is>
      </c>
      <c r="D61" s="4" t="inlineStr">
        <is>
          <t>Dr Sara Al Harbi</t>
        </is>
      </c>
      <c r="E61" s="4" t="inlineStr">
        <is>
          <t>P-3245</t>
        </is>
      </c>
      <c r="F61" s="4" t="inlineStr">
        <is>
          <t>Returning</t>
        </is>
      </c>
      <c r="G61" s="4" t="inlineStr">
        <is>
          <t>Walk-in</t>
        </is>
      </c>
      <c r="H61" s="4" t="inlineStr">
        <is>
          <t>Sunscreen cream</t>
        </is>
      </c>
      <c r="I61" s="9">
        <f>IF($H61="","",IFERROR(INDEX('Settings'!$J$10:$J$39,MATCH($H61,'Settings'!$I$10:$I$39,0)),""))</f>
        <v/>
      </c>
      <c r="J61" s="6" t="n">
        <v>1</v>
      </c>
      <c r="K61" s="8" t="n">
        <v>120</v>
      </c>
      <c r="L61" s="8" t="n"/>
      <c r="M61" s="14">
        <f>IF($A61="","",$J61*$K61)</f>
        <v/>
      </c>
      <c r="N61" s="14">
        <f>IF($A61="","",$M61-$L61)</f>
        <v/>
      </c>
      <c r="O61" s="4" t="inlineStr">
        <is>
          <t>Card</t>
        </is>
      </c>
      <c r="P61" s="15">
        <f>IF($A61="","",DATE(YEAR($A61),MONTH($A61),1))</f>
        <v/>
      </c>
      <c r="Q61" s="16">
        <f>IF($H61="","",$J61*IFERROR(INDEX('Settings'!$L$10:$L$39,MATCH($H61,'Settings'!$I$10:$I$39,0)),0))</f>
        <v/>
      </c>
      <c r="R61" s="17">
        <f>IF($A61="","",$A61-WEEKDAY($A61,2)+1)</f>
        <v/>
      </c>
    </row>
    <row r="62">
      <c r="A62" s="5" t="n">
        <v>46209</v>
      </c>
      <c r="B62" s="4" t="inlineStr">
        <is>
          <t>Main branch</t>
        </is>
      </c>
      <c r="C62" s="4" t="inlineStr">
        <is>
          <t>Main 3</t>
        </is>
      </c>
      <c r="D62" s="4" t="inlineStr">
        <is>
          <t>Dr Ahmed Mansour</t>
        </is>
      </c>
      <c r="E62" s="4" t="inlineStr">
        <is>
          <t>P-2257</t>
        </is>
      </c>
      <c r="F62" s="4" t="inlineStr">
        <is>
          <t>Returning</t>
        </is>
      </c>
      <c r="G62" s="4" t="inlineStr">
        <is>
          <t>Instagram</t>
        </is>
      </c>
      <c r="H62" s="4" t="inlineStr">
        <is>
          <t>Chemical peel</t>
        </is>
      </c>
      <c r="I62" s="9">
        <f>IF($H62="","",IFERROR(INDEX('Settings'!$J$10:$J$39,MATCH($H62,'Settings'!$I$10:$I$39,0)),""))</f>
        <v/>
      </c>
      <c r="J62" s="6" t="n">
        <v>1</v>
      </c>
      <c r="K62" s="8" t="n">
        <v>800</v>
      </c>
      <c r="L62" s="8" t="n"/>
      <c r="M62" s="14">
        <f>IF($A62="","",$J62*$K62)</f>
        <v/>
      </c>
      <c r="N62" s="14">
        <f>IF($A62="","",$M62-$L62)</f>
        <v/>
      </c>
      <c r="O62" s="4" t="inlineStr">
        <is>
          <t>Cash</t>
        </is>
      </c>
      <c r="P62" s="15">
        <f>IF($A62="","",DATE(YEAR($A62),MONTH($A62),1))</f>
        <v/>
      </c>
      <c r="Q62" s="16">
        <f>IF($H62="","",$J62*IFERROR(INDEX('Settings'!$L$10:$L$39,MATCH($H62,'Settings'!$I$10:$I$39,0)),0))</f>
        <v/>
      </c>
      <c r="R62" s="17">
        <f>IF($A62="","",$A62-WEEKDAY($A62,2)+1)</f>
        <v/>
      </c>
    </row>
    <row r="63">
      <c r="A63" s="5" t="n">
        <v>46209</v>
      </c>
      <c r="B63" s="4" t="inlineStr">
        <is>
          <t>Main branch</t>
        </is>
      </c>
      <c r="C63" s="4" t="inlineStr">
        <is>
          <t>Main 4</t>
        </is>
      </c>
      <c r="D63" s="4" t="inlineStr">
        <is>
          <t>Dr Sara Al Harbi</t>
        </is>
      </c>
      <c r="E63" s="4" t="inlineStr">
        <is>
          <t>P-2989</t>
        </is>
      </c>
      <c r="F63" s="4" t="inlineStr">
        <is>
          <t>Returning</t>
        </is>
      </c>
      <c r="G63" s="4" t="inlineStr">
        <is>
          <t>Referral</t>
        </is>
      </c>
      <c r="H63" s="4" t="inlineStr">
        <is>
          <t>Botulinum toxin</t>
        </is>
      </c>
      <c r="I63" s="9">
        <f>IF($H63="","",IFERROR(INDEX('Settings'!$J$10:$J$39,MATCH($H63,'Settings'!$I$10:$I$39,0)),""))</f>
        <v/>
      </c>
      <c r="J63" s="6" t="n">
        <v>1</v>
      </c>
      <c r="K63" s="8" t="n">
        <v>1500</v>
      </c>
      <c r="L63" s="8" t="n"/>
      <c r="M63" s="14">
        <f>IF($A63="","",$J63*$K63)</f>
        <v/>
      </c>
      <c r="N63" s="14">
        <f>IF($A63="","",$M63-$L63)</f>
        <v/>
      </c>
      <c r="O63" s="4" t="inlineStr">
        <is>
          <t>Card</t>
        </is>
      </c>
      <c r="P63" s="15">
        <f>IF($A63="","",DATE(YEAR($A63),MONTH($A63),1))</f>
        <v/>
      </c>
      <c r="Q63" s="16">
        <f>IF($H63="","",$J63*IFERROR(INDEX('Settings'!$L$10:$L$39,MATCH($H63,'Settings'!$I$10:$I$39,0)),0))</f>
        <v/>
      </c>
      <c r="R63" s="17">
        <f>IF($A63="","",$A63-WEEKDAY($A63,2)+1)</f>
        <v/>
      </c>
    </row>
    <row r="64">
      <c r="A64" s="5" t="n">
        <v>46209</v>
      </c>
      <c r="B64" s="4" t="inlineStr">
        <is>
          <t>Main branch</t>
        </is>
      </c>
      <c r="C64" s="4" t="inlineStr">
        <is>
          <t>Main 4</t>
        </is>
      </c>
      <c r="D64" s="4" t="inlineStr">
        <is>
          <t>Dr Ahmed Mansour</t>
        </is>
      </c>
      <c r="E64" s="4" t="inlineStr">
        <is>
          <t>P-3068</t>
        </is>
      </c>
      <c r="F64" s="4" t="inlineStr">
        <is>
          <t>Returning</t>
        </is>
      </c>
      <c r="G64" s="4" t="inlineStr">
        <is>
          <t>Walk-in</t>
        </is>
      </c>
      <c r="H64" s="4" t="inlineStr">
        <is>
          <t>Follow-up visit</t>
        </is>
      </c>
      <c r="I64" s="9">
        <f>IF($H64="","",IFERROR(INDEX('Settings'!$J$10:$J$39,MATCH($H64,'Settings'!$I$10:$I$39,0)),""))</f>
        <v/>
      </c>
      <c r="J64" s="6" t="n">
        <v>1</v>
      </c>
      <c r="K64" s="8" t="n">
        <v>150</v>
      </c>
      <c r="L64" s="8" t="n"/>
      <c r="M64" s="14">
        <f>IF($A64="","",$J64*$K64)</f>
        <v/>
      </c>
      <c r="N64" s="14">
        <f>IF($A64="","",$M64-$L64)</f>
        <v/>
      </c>
      <c r="O64" s="4" t="inlineStr">
        <is>
          <t>Cash</t>
        </is>
      </c>
      <c r="P64" s="15">
        <f>IF($A64="","",DATE(YEAR($A64),MONTH($A64),1))</f>
        <v/>
      </c>
      <c r="Q64" s="16">
        <f>IF($H64="","",$J64*IFERROR(INDEX('Settings'!$L$10:$L$39,MATCH($H64,'Settings'!$I$10:$I$39,0)),0))</f>
        <v/>
      </c>
      <c r="R64" s="17">
        <f>IF($A64="","",$A64-WEEKDAY($A64,2)+1)</f>
        <v/>
      </c>
    </row>
    <row r="65">
      <c r="A65" s="5" t="n">
        <v>46209</v>
      </c>
      <c r="B65" s="4" t="inlineStr">
        <is>
          <t>North branch</t>
        </is>
      </c>
      <c r="C65" s="4" t="inlineStr">
        <is>
          <t>North 1</t>
        </is>
      </c>
      <c r="D65" s="4" t="inlineStr">
        <is>
          <t>Dr Khaled Youssef</t>
        </is>
      </c>
      <c r="E65" s="4" t="inlineStr">
        <is>
          <t>P-2890</t>
        </is>
      </c>
      <c r="F65" s="4" t="inlineStr">
        <is>
          <t>Returning</t>
        </is>
      </c>
      <c r="G65" s="4" t="inlineStr">
        <is>
          <t>Google</t>
        </is>
      </c>
      <c r="H65" s="4" t="inlineStr">
        <is>
          <t>Follow-up visit</t>
        </is>
      </c>
      <c r="I65" s="9">
        <f>IF($H65="","",IFERROR(INDEX('Settings'!$J$10:$J$39,MATCH($H65,'Settings'!$I$10:$I$39,0)),""))</f>
        <v/>
      </c>
      <c r="J65" s="6" t="n">
        <v>1</v>
      </c>
      <c r="K65" s="8" t="n">
        <v>150</v>
      </c>
      <c r="L65" s="8" t="n"/>
      <c r="M65" s="14">
        <f>IF($A65="","",$J65*$K65)</f>
        <v/>
      </c>
      <c r="N65" s="14">
        <f>IF($A65="","",$M65-$L65)</f>
        <v/>
      </c>
      <c r="O65" s="4" t="inlineStr">
        <is>
          <t>Cash</t>
        </is>
      </c>
      <c r="P65" s="15">
        <f>IF($A65="","",DATE(YEAR($A65),MONTH($A65),1))</f>
        <v/>
      </c>
      <c r="Q65" s="16">
        <f>IF($H65="","",$J65*IFERROR(INDEX('Settings'!$L$10:$L$39,MATCH($H65,'Settings'!$I$10:$I$39,0)),0))</f>
        <v/>
      </c>
      <c r="R65" s="17">
        <f>IF($A65="","",$A65-WEEKDAY($A65,2)+1)</f>
        <v/>
      </c>
    </row>
    <row r="66">
      <c r="A66" s="5" t="n">
        <v>46209</v>
      </c>
      <c r="B66" s="4" t="inlineStr">
        <is>
          <t>North branch</t>
        </is>
      </c>
      <c r="C66" s="4" t="inlineStr">
        <is>
          <t>North 1</t>
        </is>
      </c>
      <c r="D66" s="4" t="inlineStr">
        <is>
          <t>Dr Khaled Youssef</t>
        </is>
      </c>
      <c r="E66" s="4" t="inlineStr">
        <is>
          <t>P-3133</t>
        </is>
      </c>
      <c r="F66" s="4" t="inlineStr">
        <is>
          <t>Returning</t>
        </is>
      </c>
      <c r="G66" s="4" t="inlineStr">
        <is>
          <t>Instagram</t>
        </is>
      </c>
      <c r="H66" s="4" t="inlineStr">
        <is>
          <t>Botulinum toxin</t>
        </is>
      </c>
      <c r="I66" s="9">
        <f>IF($H66="","",IFERROR(INDEX('Settings'!$J$10:$J$39,MATCH($H66,'Settings'!$I$10:$I$39,0)),""))</f>
        <v/>
      </c>
      <c r="J66" s="6" t="n">
        <v>1</v>
      </c>
      <c r="K66" s="8" t="n">
        <v>1500</v>
      </c>
      <c r="L66" s="8" t="n">
        <v>150</v>
      </c>
      <c r="M66" s="14">
        <f>IF($A66="","",$J66*$K66)</f>
        <v/>
      </c>
      <c r="N66" s="14">
        <f>IF($A66="","",$M66-$L66)</f>
        <v/>
      </c>
      <c r="O66" s="4" t="inlineStr">
        <is>
          <t>Card</t>
        </is>
      </c>
      <c r="P66" s="15">
        <f>IF($A66="","",DATE(YEAR($A66),MONTH($A66),1))</f>
        <v/>
      </c>
      <c r="Q66" s="16">
        <f>IF($H66="","",$J66*IFERROR(INDEX('Settings'!$L$10:$L$39,MATCH($H66,'Settings'!$I$10:$I$39,0)),0))</f>
        <v/>
      </c>
      <c r="R66" s="17">
        <f>IF($A66="","",$A66-WEEKDAY($A66,2)+1)</f>
        <v/>
      </c>
    </row>
    <row r="67">
      <c r="A67" s="5" t="n">
        <v>46209</v>
      </c>
      <c r="B67" s="4" t="inlineStr">
        <is>
          <t>North branch</t>
        </is>
      </c>
      <c r="C67" s="4" t="inlineStr">
        <is>
          <t>North 1</t>
        </is>
      </c>
      <c r="D67" s="4" t="inlineStr">
        <is>
          <t>Dr Layla Al Qahtani</t>
        </is>
      </c>
      <c r="E67" s="4" t="inlineStr">
        <is>
          <t>P-3362</t>
        </is>
      </c>
      <c r="F67" s="4" t="inlineStr">
        <is>
          <t>Returning</t>
        </is>
      </c>
      <c r="G67" s="4" t="inlineStr">
        <is>
          <t>Google</t>
        </is>
      </c>
      <c r="H67" s="4" t="inlineStr">
        <is>
          <t>Facial cleansing</t>
        </is>
      </c>
      <c r="I67" s="9">
        <f>IF($H67="","",IFERROR(INDEX('Settings'!$J$10:$J$39,MATCH($H67,'Settings'!$I$10:$I$39,0)),""))</f>
        <v/>
      </c>
      <c r="J67" s="6" t="n">
        <v>1</v>
      </c>
      <c r="K67" s="8" t="n">
        <v>400</v>
      </c>
      <c r="L67" s="8" t="n"/>
      <c r="M67" s="14">
        <f>IF($A67="","",$J67*$K67)</f>
        <v/>
      </c>
      <c r="N67" s="14">
        <f>IF($A67="","",$M67-$L67)</f>
        <v/>
      </c>
      <c r="O67" s="4" t="inlineStr">
        <is>
          <t>Card</t>
        </is>
      </c>
      <c r="P67" s="15">
        <f>IF($A67="","",DATE(YEAR($A67),MONTH($A67),1))</f>
        <v/>
      </c>
      <c r="Q67" s="16">
        <f>IF($H67="","",$J67*IFERROR(INDEX('Settings'!$L$10:$L$39,MATCH($H67,'Settings'!$I$10:$I$39,0)),0))</f>
        <v/>
      </c>
      <c r="R67" s="17">
        <f>IF($A67="","",$A67-WEEKDAY($A67,2)+1)</f>
        <v/>
      </c>
    </row>
    <row r="68">
      <c r="A68" s="5" t="n">
        <v>46209</v>
      </c>
      <c r="B68" s="4" t="inlineStr">
        <is>
          <t>North branch</t>
        </is>
      </c>
      <c r="C68" s="4" t="inlineStr">
        <is>
          <t>North 1</t>
        </is>
      </c>
      <c r="D68" s="4" t="inlineStr">
        <is>
          <t>Dr Layla Al Qahtani</t>
        </is>
      </c>
      <c r="E68" s="4" t="inlineStr">
        <is>
          <t>P-2538</t>
        </is>
      </c>
      <c r="F68" s="4" t="inlineStr">
        <is>
          <t>Returning</t>
        </is>
      </c>
      <c r="G68" s="4" t="inlineStr">
        <is>
          <t>Walk-in</t>
        </is>
      </c>
      <c r="H68" s="4" t="inlineStr">
        <is>
          <t>Facial cleansing</t>
        </is>
      </c>
      <c r="I68" s="9">
        <f>IF($H68="","",IFERROR(INDEX('Settings'!$J$10:$J$39,MATCH($H68,'Settings'!$I$10:$I$39,0)),""))</f>
        <v/>
      </c>
      <c r="J68" s="6" t="n">
        <v>1</v>
      </c>
      <c r="K68" s="8" t="n">
        <v>400</v>
      </c>
      <c r="L68" s="8" t="n"/>
      <c r="M68" s="14">
        <f>IF($A68="","",$J68*$K68)</f>
        <v/>
      </c>
      <c r="N68" s="14">
        <f>IF($A68="","",$M68-$L68)</f>
        <v/>
      </c>
      <c r="O68" s="4" t="inlineStr">
        <is>
          <t>Insurance</t>
        </is>
      </c>
      <c r="P68" s="15">
        <f>IF($A68="","",DATE(YEAR($A68),MONTH($A68),1))</f>
        <v/>
      </c>
      <c r="Q68" s="16">
        <f>IF($H68="","",$J68*IFERROR(INDEX('Settings'!$L$10:$L$39,MATCH($H68,'Settings'!$I$10:$I$39,0)),0))</f>
        <v/>
      </c>
      <c r="R68" s="17">
        <f>IF($A68="","",$A68-WEEKDAY($A68,2)+1)</f>
        <v/>
      </c>
    </row>
    <row r="69">
      <c r="A69" s="5" t="n">
        <v>46209</v>
      </c>
      <c r="B69" s="4" t="inlineStr">
        <is>
          <t>North branch</t>
        </is>
      </c>
      <c r="C69" s="4" t="inlineStr">
        <is>
          <t>North 1</t>
        </is>
      </c>
      <c r="D69" s="4" t="inlineStr">
        <is>
          <t>Dr Layla Al Qahtani</t>
        </is>
      </c>
      <c r="E69" s="4" t="inlineStr">
        <is>
          <t>P-2938</t>
        </is>
      </c>
      <c r="F69" s="4" t="inlineStr">
        <is>
          <t>Returning</t>
        </is>
      </c>
      <c r="G69" s="4" t="inlineStr">
        <is>
          <t>Walk-in</t>
        </is>
      </c>
      <c r="H69" s="4" t="inlineStr">
        <is>
          <t>Facial cleansing</t>
        </is>
      </c>
      <c r="I69" s="9">
        <f>IF($H69="","",IFERROR(INDEX('Settings'!$J$10:$J$39,MATCH($H69,'Settings'!$I$10:$I$39,0)),""))</f>
        <v/>
      </c>
      <c r="J69" s="6" t="n">
        <v>1</v>
      </c>
      <c r="K69" s="8" t="n">
        <v>400</v>
      </c>
      <c r="L69" s="8" t="n"/>
      <c r="M69" s="14">
        <f>IF($A69="","",$J69*$K69)</f>
        <v/>
      </c>
      <c r="N69" s="14">
        <f>IF($A69="","",$M69-$L69)</f>
        <v/>
      </c>
      <c r="O69" s="4" t="inlineStr">
        <is>
          <t>Cash</t>
        </is>
      </c>
      <c r="P69" s="15">
        <f>IF($A69="","",DATE(YEAR($A69),MONTH($A69),1))</f>
        <v/>
      </c>
      <c r="Q69" s="16">
        <f>IF($H69="","",$J69*IFERROR(INDEX('Settings'!$L$10:$L$39,MATCH($H69,'Settings'!$I$10:$I$39,0)),0))</f>
        <v/>
      </c>
      <c r="R69" s="17">
        <f>IF($A69="","",$A69-WEEKDAY($A69,2)+1)</f>
        <v/>
      </c>
    </row>
    <row r="70">
      <c r="A70" s="5" t="n">
        <v>46209</v>
      </c>
      <c r="B70" s="4" t="inlineStr">
        <is>
          <t>North branch</t>
        </is>
      </c>
      <c r="C70" s="4" t="inlineStr">
        <is>
          <t>North 1</t>
        </is>
      </c>
      <c r="D70" s="4" t="inlineStr">
        <is>
          <t>Dr Khaled Youssef</t>
        </is>
      </c>
      <c r="E70" s="4" t="inlineStr">
        <is>
          <t>P-2581</t>
        </is>
      </c>
      <c r="F70" s="4" t="inlineStr">
        <is>
          <t>New</t>
        </is>
      </c>
      <c r="G70" s="4" t="inlineStr">
        <is>
          <t>Google</t>
        </is>
      </c>
      <c r="H70" s="4" t="inlineStr">
        <is>
          <t>Laser session, body</t>
        </is>
      </c>
      <c r="I70" s="9">
        <f>IF($H70="","",IFERROR(INDEX('Settings'!$J$10:$J$39,MATCH($H70,'Settings'!$I$10:$I$39,0)),""))</f>
        <v/>
      </c>
      <c r="J70" s="6" t="n">
        <v>1</v>
      </c>
      <c r="K70" s="8" t="n">
        <v>1200</v>
      </c>
      <c r="L70" s="8" t="n"/>
      <c r="M70" s="14">
        <f>IF($A70="","",$J70*$K70)</f>
        <v/>
      </c>
      <c r="N70" s="14">
        <f>IF($A70="","",$M70-$L70)</f>
        <v/>
      </c>
      <c r="O70" s="4" t="inlineStr">
        <is>
          <t>Cash</t>
        </is>
      </c>
      <c r="P70" s="15">
        <f>IF($A70="","",DATE(YEAR($A70),MONTH($A70),1))</f>
        <v/>
      </c>
      <c r="Q70" s="16">
        <f>IF($H70="","",$J70*IFERROR(INDEX('Settings'!$L$10:$L$39,MATCH($H70,'Settings'!$I$10:$I$39,0)),0))</f>
        <v/>
      </c>
      <c r="R70" s="17">
        <f>IF($A70="","",$A70-WEEKDAY($A70,2)+1)</f>
        <v/>
      </c>
    </row>
    <row r="71">
      <c r="A71" s="5" t="n">
        <v>46209</v>
      </c>
      <c r="B71" s="4" t="inlineStr">
        <is>
          <t>North branch</t>
        </is>
      </c>
      <c r="C71" s="4" t="inlineStr">
        <is>
          <t>North 1</t>
        </is>
      </c>
      <c r="D71" s="4" t="inlineStr">
        <is>
          <t>Dr Mohamed Adel</t>
        </is>
      </c>
      <c r="E71" s="4" t="inlineStr">
        <is>
          <t>P-2176</t>
        </is>
      </c>
      <c r="F71" s="4" t="inlineStr">
        <is>
          <t>Returning</t>
        </is>
      </c>
      <c r="G71" s="4" t="inlineStr">
        <is>
          <t>Referral</t>
        </is>
      </c>
      <c r="H71" s="4" t="inlineStr">
        <is>
          <t>Filler injection</t>
        </is>
      </c>
      <c r="I71" s="9">
        <f>IF($H71="","",IFERROR(INDEX('Settings'!$J$10:$J$39,MATCH($H71,'Settings'!$I$10:$I$39,0)),""))</f>
        <v/>
      </c>
      <c r="J71" s="6" t="n">
        <v>1</v>
      </c>
      <c r="K71" s="8" t="n">
        <v>1800</v>
      </c>
      <c r="L71" s="8" t="n">
        <v>90</v>
      </c>
      <c r="M71" s="14">
        <f>IF($A71="","",$J71*$K71)</f>
        <v/>
      </c>
      <c r="N71" s="14">
        <f>IF($A71="","",$M71-$L71)</f>
        <v/>
      </c>
      <c r="O71" s="4" t="inlineStr">
        <is>
          <t>Insurance</t>
        </is>
      </c>
      <c r="P71" s="15">
        <f>IF($A71="","",DATE(YEAR($A71),MONTH($A71),1))</f>
        <v/>
      </c>
      <c r="Q71" s="16">
        <f>IF($H71="","",$J71*IFERROR(INDEX('Settings'!$L$10:$L$39,MATCH($H71,'Settings'!$I$10:$I$39,0)),0))</f>
        <v/>
      </c>
      <c r="R71" s="17">
        <f>IF($A71="","",$A71-WEEKDAY($A71,2)+1)</f>
        <v/>
      </c>
    </row>
    <row r="72">
      <c r="A72" s="5" t="n">
        <v>46209</v>
      </c>
      <c r="B72" s="4" t="inlineStr">
        <is>
          <t>North branch</t>
        </is>
      </c>
      <c r="C72" s="4" t="inlineStr">
        <is>
          <t>North 1</t>
        </is>
      </c>
      <c r="D72" s="4" t="inlineStr">
        <is>
          <t>Dr Khaled Youssef</t>
        </is>
      </c>
      <c r="E72" s="4" t="inlineStr">
        <is>
          <t>P-2204</t>
        </is>
      </c>
      <c r="F72" s="4" t="inlineStr">
        <is>
          <t>New</t>
        </is>
      </c>
      <c r="G72" s="4" t="inlineStr">
        <is>
          <t>Google</t>
        </is>
      </c>
      <c r="H72" s="4" t="inlineStr">
        <is>
          <t>Specialist consultation</t>
        </is>
      </c>
      <c r="I72" s="9">
        <f>IF($H72="","",IFERROR(INDEX('Settings'!$J$10:$J$39,MATCH($H72,'Settings'!$I$10:$I$39,0)),""))</f>
        <v/>
      </c>
      <c r="J72" s="6" t="n">
        <v>1</v>
      </c>
      <c r="K72" s="8" t="n">
        <v>350</v>
      </c>
      <c r="L72" s="8" t="n"/>
      <c r="M72" s="14">
        <f>IF($A72="","",$J72*$K72)</f>
        <v/>
      </c>
      <c r="N72" s="14">
        <f>IF($A72="","",$M72-$L72)</f>
        <v/>
      </c>
      <c r="O72" s="4" t="inlineStr">
        <is>
          <t>Transfer</t>
        </is>
      </c>
      <c r="P72" s="15">
        <f>IF($A72="","",DATE(YEAR($A72),MONTH($A72),1))</f>
        <v/>
      </c>
      <c r="Q72" s="16">
        <f>IF($H72="","",$J72*IFERROR(INDEX('Settings'!$L$10:$L$39,MATCH($H72,'Settings'!$I$10:$I$39,0)),0))</f>
        <v/>
      </c>
      <c r="R72" s="17">
        <f>IF($A72="","",$A72-WEEKDAY($A72,2)+1)</f>
        <v/>
      </c>
    </row>
    <row r="73">
      <c r="A73" s="5" t="n">
        <v>46209</v>
      </c>
      <c r="B73" s="4" t="inlineStr">
        <is>
          <t>North branch</t>
        </is>
      </c>
      <c r="C73" s="4" t="inlineStr">
        <is>
          <t>North 2</t>
        </is>
      </c>
      <c r="D73" s="4" t="inlineStr">
        <is>
          <t>Dr Layla Al Qahtani</t>
        </is>
      </c>
      <c r="E73" s="4" t="inlineStr">
        <is>
          <t>P-2636</t>
        </is>
      </c>
      <c r="F73" s="4" t="inlineStr">
        <is>
          <t>Returning</t>
        </is>
      </c>
      <c r="G73" s="4" t="inlineStr">
        <is>
          <t>Referral</t>
        </is>
      </c>
      <c r="H73" s="4" t="inlineStr">
        <is>
          <t>Laser session, face</t>
        </is>
      </c>
      <c r="I73" s="9">
        <f>IF($H73="","",IFERROR(INDEX('Settings'!$J$10:$J$39,MATCH($H73,'Settings'!$I$10:$I$39,0)),""))</f>
        <v/>
      </c>
      <c r="J73" s="6" t="n">
        <v>1</v>
      </c>
      <c r="K73" s="8" t="n">
        <v>600</v>
      </c>
      <c r="L73" s="8" t="n">
        <v>60</v>
      </c>
      <c r="M73" s="14">
        <f>IF($A73="","",$J73*$K73)</f>
        <v/>
      </c>
      <c r="N73" s="14">
        <f>IF($A73="","",$M73-$L73)</f>
        <v/>
      </c>
      <c r="O73" s="4" t="inlineStr">
        <is>
          <t>Cash</t>
        </is>
      </c>
      <c r="P73" s="15">
        <f>IF($A73="","",DATE(YEAR($A73),MONTH($A73),1))</f>
        <v/>
      </c>
      <c r="Q73" s="16">
        <f>IF($H73="","",$J73*IFERROR(INDEX('Settings'!$L$10:$L$39,MATCH($H73,'Settings'!$I$10:$I$39,0)),0))</f>
        <v/>
      </c>
      <c r="R73" s="17">
        <f>IF($A73="","",$A73-WEEKDAY($A73,2)+1)</f>
        <v/>
      </c>
    </row>
    <row r="74">
      <c r="A74" s="5" t="n">
        <v>46209</v>
      </c>
      <c r="B74" s="4" t="inlineStr">
        <is>
          <t>North branch</t>
        </is>
      </c>
      <c r="C74" s="4" t="inlineStr">
        <is>
          <t>North 2</t>
        </is>
      </c>
      <c r="D74" s="4" t="inlineStr">
        <is>
          <t>Dr Layla Al Qahtani</t>
        </is>
      </c>
      <c r="E74" s="4" t="inlineStr">
        <is>
          <t>P-3470</t>
        </is>
      </c>
      <c r="F74" s="4" t="inlineStr">
        <is>
          <t>Returning</t>
        </is>
      </c>
      <c r="G74" s="4" t="inlineStr">
        <is>
          <t>Instagram</t>
        </is>
      </c>
      <c r="H74" s="4" t="inlineStr">
        <is>
          <t>Sunscreen cream</t>
        </is>
      </c>
      <c r="I74" s="9">
        <f>IF($H74="","",IFERROR(INDEX('Settings'!$J$10:$J$39,MATCH($H74,'Settings'!$I$10:$I$39,0)),""))</f>
        <v/>
      </c>
      <c r="J74" s="6" t="n">
        <v>2</v>
      </c>
      <c r="K74" s="8" t="n">
        <v>120</v>
      </c>
      <c r="L74" s="8" t="n"/>
      <c r="M74" s="14">
        <f>IF($A74="","",$J74*$K74)</f>
        <v/>
      </c>
      <c r="N74" s="14">
        <f>IF($A74="","",$M74-$L74)</f>
        <v/>
      </c>
      <c r="O74" s="4" t="inlineStr">
        <is>
          <t>Card</t>
        </is>
      </c>
      <c r="P74" s="15">
        <f>IF($A74="","",DATE(YEAR($A74),MONTH($A74),1))</f>
        <v/>
      </c>
      <c r="Q74" s="16">
        <f>IF($H74="","",$J74*IFERROR(INDEX('Settings'!$L$10:$L$39,MATCH($H74,'Settings'!$I$10:$I$39,0)),0))</f>
        <v/>
      </c>
      <c r="R74" s="17">
        <f>IF($A74="","",$A74-WEEKDAY($A74,2)+1)</f>
        <v/>
      </c>
    </row>
    <row r="75">
      <c r="A75" s="5" t="n">
        <v>46210</v>
      </c>
      <c r="B75" s="4" t="inlineStr">
        <is>
          <t>Main branch</t>
        </is>
      </c>
      <c r="C75" s="4" t="inlineStr">
        <is>
          <t>Main 1</t>
        </is>
      </c>
      <c r="D75" s="4" t="inlineStr">
        <is>
          <t>Dr Ahmed Mansour</t>
        </is>
      </c>
      <c r="E75" s="4" t="inlineStr">
        <is>
          <t>P-2974</t>
        </is>
      </c>
      <c r="F75" s="4" t="inlineStr">
        <is>
          <t>Returning</t>
        </is>
      </c>
      <c r="G75" s="4" t="inlineStr">
        <is>
          <t>Instagram</t>
        </is>
      </c>
      <c r="H75" s="4" t="inlineStr">
        <is>
          <t>Chemical peel</t>
        </is>
      </c>
      <c r="I75" s="9">
        <f>IF($H75="","",IFERROR(INDEX('Settings'!$J$10:$J$39,MATCH($H75,'Settings'!$I$10:$I$39,0)),""))</f>
        <v/>
      </c>
      <c r="J75" s="6" t="n">
        <v>1</v>
      </c>
      <c r="K75" s="8" t="n">
        <v>800</v>
      </c>
      <c r="L75" s="8" t="n"/>
      <c r="M75" s="14">
        <f>IF($A75="","",$J75*$K75)</f>
        <v/>
      </c>
      <c r="N75" s="14">
        <f>IF($A75="","",$M75-$L75)</f>
        <v/>
      </c>
      <c r="O75" s="4" t="inlineStr">
        <is>
          <t>Card</t>
        </is>
      </c>
      <c r="P75" s="15">
        <f>IF($A75="","",DATE(YEAR($A75),MONTH($A75),1))</f>
        <v/>
      </c>
      <c r="Q75" s="16">
        <f>IF($H75="","",$J75*IFERROR(INDEX('Settings'!$L$10:$L$39,MATCH($H75,'Settings'!$I$10:$I$39,0)),0))</f>
        <v/>
      </c>
      <c r="R75" s="17">
        <f>IF($A75="","",$A75-WEEKDAY($A75,2)+1)</f>
        <v/>
      </c>
    </row>
    <row r="76">
      <c r="A76" s="5" t="n">
        <v>46210</v>
      </c>
      <c r="B76" s="4" t="inlineStr">
        <is>
          <t>Main branch</t>
        </is>
      </c>
      <c r="C76" s="4" t="inlineStr">
        <is>
          <t>Main 1</t>
        </is>
      </c>
      <c r="D76" s="4" t="inlineStr">
        <is>
          <t>Dr Sara Al Harbi</t>
        </is>
      </c>
      <c r="E76" s="4" t="inlineStr">
        <is>
          <t>P-2944</t>
        </is>
      </c>
      <c r="F76" s="4" t="inlineStr">
        <is>
          <t>Returning</t>
        </is>
      </c>
      <c r="G76" s="4" t="inlineStr">
        <is>
          <t>Referral</t>
        </is>
      </c>
      <c r="H76" s="4" t="inlineStr">
        <is>
          <t>Vitamin C serum</t>
        </is>
      </c>
      <c r="I76" s="9">
        <f>IF($H76="","",IFERROR(INDEX('Settings'!$J$10:$J$39,MATCH($H76,'Settings'!$I$10:$I$39,0)),""))</f>
        <v/>
      </c>
      <c r="J76" s="6" t="n">
        <v>1</v>
      </c>
      <c r="K76" s="8" t="n">
        <v>220</v>
      </c>
      <c r="L76" s="8" t="n"/>
      <c r="M76" s="14">
        <f>IF($A76="","",$J76*$K76)</f>
        <v/>
      </c>
      <c r="N76" s="14">
        <f>IF($A76="","",$M76-$L76)</f>
        <v/>
      </c>
      <c r="O76" s="4" t="inlineStr">
        <is>
          <t>Cash</t>
        </is>
      </c>
      <c r="P76" s="15">
        <f>IF($A76="","",DATE(YEAR($A76),MONTH($A76),1))</f>
        <v/>
      </c>
      <c r="Q76" s="16">
        <f>IF($H76="","",$J76*IFERROR(INDEX('Settings'!$L$10:$L$39,MATCH($H76,'Settings'!$I$10:$I$39,0)),0))</f>
        <v/>
      </c>
      <c r="R76" s="17">
        <f>IF($A76="","",$A76-WEEKDAY($A76,2)+1)</f>
        <v/>
      </c>
    </row>
    <row r="77">
      <c r="A77" s="5" t="n">
        <v>46210</v>
      </c>
      <c r="B77" s="4" t="inlineStr">
        <is>
          <t>Main branch</t>
        </is>
      </c>
      <c r="C77" s="4" t="inlineStr">
        <is>
          <t>Main 2</t>
        </is>
      </c>
      <c r="D77" s="4" t="inlineStr">
        <is>
          <t>Dr Sara Al Harbi</t>
        </is>
      </c>
      <c r="E77" s="4" t="inlineStr">
        <is>
          <t>P-2714</t>
        </is>
      </c>
      <c r="F77" s="4" t="inlineStr">
        <is>
          <t>Returning</t>
        </is>
      </c>
      <c r="G77" s="4" t="inlineStr">
        <is>
          <t>WhatsApp</t>
        </is>
      </c>
      <c r="H77" s="4" t="inlineStr">
        <is>
          <t>Chemical peel</t>
        </is>
      </c>
      <c r="I77" s="9">
        <f>IF($H77="","",IFERROR(INDEX('Settings'!$J$10:$J$39,MATCH($H77,'Settings'!$I$10:$I$39,0)),""))</f>
        <v/>
      </c>
      <c r="J77" s="6" t="n">
        <v>1</v>
      </c>
      <c r="K77" s="8" t="n">
        <v>800</v>
      </c>
      <c r="L77" s="8" t="n">
        <v>40</v>
      </c>
      <c r="M77" s="14">
        <f>IF($A77="","",$J77*$K77)</f>
        <v/>
      </c>
      <c r="N77" s="14">
        <f>IF($A77="","",$M77-$L77)</f>
        <v/>
      </c>
      <c r="O77" s="4" t="inlineStr">
        <is>
          <t>Cash</t>
        </is>
      </c>
      <c r="P77" s="15">
        <f>IF($A77="","",DATE(YEAR($A77),MONTH($A77),1))</f>
        <v/>
      </c>
      <c r="Q77" s="16">
        <f>IF($H77="","",$J77*IFERROR(INDEX('Settings'!$L$10:$L$39,MATCH($H77,'Settings'!$I$10:$I$39,0)),0))</f>
        <v/>
      </c>
      <c r="R77" s="17">
        <f>IF($A77="","",$A77-WEEKDAY($A77,2)+1)</f>
        <v/>
      </c>
    </row>
    <row r="78">
      <c r="A78" s="5" t="n">
        <v>46210</v>
      </c>
      <c r="B78" s="4" t="inlineStr">
        <is>
          <t>Main branch</t>
        </is>
      </c>
      <c r="C78" s="4" t="inlineStr">
        <is>
          <t>Main 3</t>
        </is>
      </c>
      <c r="D78" s="4" t="inlineStr">
        <is>
          <t>Dr Sara Al Harbi</t>
        </is>
      </c>
      <c r="E78" s="4" t="inlineStr">
        <is>
          <t>P-3485</t>
        </is>
      </c>
      <c r="F78" s="4" t="inlineStr">
        <is>
          <t>Returning</t>
        </is>
      </c>
      <c r="G78" s="4" t="inlineStr">
        <is>
          <t>Instagram</t>
        </is>
      </c>
      <c r="H78" s="4" t="inlineStr">
        <is>
          <t>Sunscreen cream</t>
        </is>
      </c>
      <c r="I78" s="9">
        <f>IF($H78="","",IFERROR(INDEX('Settings'!$J$10:$J$39,MATCH($H78,'Settings'!$I$10:$I$39,0)),""))</f>
        <v/>
      </c>
      <c r="J78" s="6" t="n">
        <v>1</v>
      </c>
      <c r="K78" s="8" t="n">
        <v>120</v>
      </c>
      <c r="L78" s="8" t="n"/>
      <c r="M78" s="14">
        <f>IF($A78="","",$J78*$K78)</f>
        <v/>
      </c>
      <c r="N78" s="14">
        <f>IF($A78="","",$M78-$L78)</f>
        <v/>
      </c>
      <c r="O78" s="4" t="inlineStr">
        <is>
          <t>Cash</t>
        </is>
      </c>
      <c r="P78" s="15">
        <f>IF($A78="","",DATE(YEAR($A78),MONTH($A78),1))</f>
        <v/>
      </c>
      <c r="Q78" s="16">
        <f>IF($H78="","",$J78*IFERROR(INDEX('Settings'!$L$10:$L$39,MATCH($H78,'Settings'!$I$10:$I$39,0)),0))</f>
        <v/>
      </c>
      <c r="R78" s="17">
        <f>IF($A78="","",$A78-WEEKDAY($A78,2)+1)</f>
        <v/>
      </c>
    </row>
    <row r="79">
      <c r="A79" s="5" t="n">
        <v>46210</v>
      </c>
      <c r="B79" s="4" t="inlineStr">
        <is>
          <t>Main branch</t>
        </is>
      </c>
      <c r="C79" s="4" t="inlineStr">
        <is>
          <t>Main 3</t>
        </is>
      </c>
      <c r="D79" s="4" t="inlineStr">
        <is>
          <t>Dr Noura Al Subaie</t>
        </is>
      </c>
      <c r="E79" s="4" t="inlineStr">
        <is>
          <t>P-3280</t>
        </is>
      </c>
      <c r="F79" s="4" t="inlineStr">
        <is>
          <t>Returning</t>
        </is>
      </c>
      <c r="G79" s="4" t="inlineStr">
        <is>
          <t>Walk-in</t>
        </is>
      </c>
      <c r="H79" s="4" t="inlineStr">
        <is>
          <t>Specialist consultation</t>
        </is>
      </c>
      <c r="I79" s="9">
        <f>IF($H79="","",IFERROR(INDEX('Settings'!$J$10:$J$39,MATCH($H79,'Settings'!$I$10:$I$39,0)),""))</f>
        <v/>
      </c>
      <c r="J79" s="6" t="n">
        <v>1</v>
      </c>
      <c r="K79" s="8" t="n">
        <v>350</v>
      </c>
      <c r="L79" s="8" t="n"/>
      <c r="M79" s="14">
        <f>IF($A79="","",$J79*$K79)</f>
        <v/>
      </c>
      <c r="N79" s="14">
        <f>IF($A79="","",$M79-$L79)</f>
        <v/>
      </c>
      <c r="O79" s="4" t="inlineStr">
        <is>
          <t>Cash</t>
        </is>
      </c>
      <c r="P79" s="15">
        <f>IF($A79="","",DATE(YEAR($A79),MONTH($A79),1))</f>
        <v/>
      </c>
      <c r="Q79" s="16">
        <f>IF($H79="","",$J79*IFERROR(INDEX('Settings'!$L$10:$L$39,MATCH($H79,'Settings'!$I$10:$I$39,0)),0))</f>
        <v/>
      </c>
      <c r="R79" s="17">
        <f>IF($A79="","",$A79-WEEKDAY($A79,2)+1)</f>
        <v/>
      </c>
    </row>
    <row r="80">
      <c r="A80" s="5" t="n">
        <v>46210</v>
      </c>
      <c r="B80" s="4" t="inlineStr">
        <is>
          <t>Main branch</t>
        </is>
      </c>
      <c r="C80" s="4" t="inlineStr">
        <is>
          <t>Main 3</t>
        </is>
      </c>
      <c r="D80" s="4" t="inlineStr">
        <is>
          <t>Dr Noura Al Subaie</t>
        </is>
      </c>
      <c r="E80" s="4" t="inlineStr">
        <is>
          <t>P-2265</t>
        </is>
      </c>
      <c r="F80" s="4" t="inlineStr">
        <is>
          <t>New</t>
        </is>
      </c>
      <c r="G80" s="4" t="inlineStr">
        <is>
          <t>Google</t>
        </is>
      </c>
      <c r="H80" s="4" t="inlineStr">
        <is>
          <t>Laser session, face</t>
        </is>
      </c>
      <c r="I80" s="9">
        <f>IF($H80="","",IFERROR(INDEX('Settings'!$J$10:$J$39,MATCH($H80,'Settings'!$I$10:$I$39,0)),""))</f>
        <v/>
      </c>
      <c r="J80" s="6" t="n">
        <v>1</v>
      </c>
      <c r="K80" s="8" t="n">
        <v>600</v>
      </c>
      <c r="L80" s="8" t="n"/>
      <c r="M80" s="14">
        <f>IF($A80="","",$J80*$K80)</f>
        <v/>
      </c>
      <c r="N80" s="14">
        <f>IF($A80="","",$M80-$L80)</f>
        <v/>
      </c>
      <c r="O80" s="4" t="inlineStr">
        <is>
          <t>Card</t>
        </is>
      </c>
      <c r="P80" s="15">
        <f>IF($A80="","",DATE(YEAR($A80),MONTH($A80),1))</f>
        <v/>
      </c>
      <c r="Q80" s="16">
        <f>IF($H80="","",$J80*IFERROR(INDEX('Settings'!$L$10:$L$39,MATCH($H80,'Settings'!$I$10:$I$39,0)),0))</f>
        <v/>
      </c>
      <c r="R80" s="17">
        <f>IF($A80="","",$A80-WEEKDAY($A80,2)+1)</f>
        <v/>
      </c>
    </row>
    <row r="81">
      <c r="A81" s="5" t="n">
        <v>46210</v>
      </c>
      <c r="B81" s="4" t="inlineStr">
        <is>
          <t>Main branch</t>
        </is>
      </c>
      <c r="C81" s="4" t="inlineStr">
        <is>
          <t>Main 4</t>
        </is>
      </c>
      <c r="D81" s="4" t="inlineStr">
        <is>
          <t>Dr Sara Al Harbi</t>
        </is>
      </c>
      <c r="E81" s="4" t="inlineStr">
        <is>
          <t>P-3419</t>
        </is>
      </c>
      <c r="F81" s="4" t="inlineStr">
        <is>
          <t>Returning</t>
        </is>
      </c>
      <c r="G81" s="4" t="inlineStr">
        <is>
          <t>Walk-in</t>
        </is>
      </c>
      <c r="H81" s="4" t="inlineStr">
        <is>
          <t>Skin tag removal</t>
        </is>
      </c>
      <c r="I81" s="9">
        <f>IF($H81="","",IFERROR(INDEX('Settings'!$J$10:$J$39,MATCH($H81,'Settings'!$I$10:$I$39,0)),""))</f>
        <v/>
      </c>
      <c r="J81" s="6" t="n">
        <v>1</v>
      </c>
      <c r="K81" s="8" t="n">
        <v>500</v>
      </c>
      <c r="L81" s="8" t="n"/>
      <c r="M81" s="14">
        <f>IF($A81="","",$J81*$K81)</f>
        <v/>
      </c>
      <c r="N81" s="14">
        <f>IF($A81="","",$M81-$L81)</f>
        <v/>
      </c>
      <c r="O81" s="4" t="inlineStr">
        <is>
          <t>Insurance</t>
        </is>
      </c>
      <c r="P81" s="15">
        <f>IF($A81="","",DATE(YEAR($A81),MONTH($A81),1))</f>
        <v/>
      </c>
      <c r="Q81" s="16">
        <f>IF($H81="","",$J81*IFERROR(INDEX('Settings'!$L$10:$L$39,MATCH($H81,'Settings'!$I$10:$I$39,0)),0))</f>
        <v/>
      </c>
      <c r="R81" s="17">
        <f>IF($A81="","",$A81-WEEKDAY($A81,2)+1)</f>
        <v/>
      </c>
    </row>
    <row r="82">
      <c r="A82" s="5" t="n">
        <v>46210</v>
      </c>
      <c r="B82" s="4" t="inlineStr">
        <is>
          <t>Main branch</t>
        </is>
      </c>
      <c r="C82" s="4" t="inlineStr">
        <is>
          <t>Main 4</t>
        </is>
      </c>
      <c r="D82" s="4" t="inlineStr">
        <is>
          <t>Dr Noura Al Subaie</t>
        </is>
      </c>
      <c r="E82" s="4" t="inlineStr">
        <is>
          <t>P-2409</t>
        </is>
      </c>
      <c r="F82" s="4" t="inlineStr">
        <is>
          <t>Returning</t>
        </is>
      </c>
      <c r="G82" s="4" t="inlineStr">
        <is>
          <t>Walk-in</t>
        </is>
      </c>
      <c r="H82" s="4" t="inlineStr">
        <is>
          <t>Sunscreen cream</t>
        </is>
      </c>
      <c r="I82" s="9">
        <f>IF($H82="","",IFERROR(INDEX('Settings'!$J$10:$J$39,MATCH($H82,'Settings'!$I$10:$I$39,0)),""))</f>
        <v/>
      </c>
      <c r="J82" s="6" t="n">
        <v>1</v>
      </c>
      <c r="K82" s="8" t="n">
        <v>120</v>
      </c>
      <c r="L82" s="8" t="n"/>
      <c r="M82" s="14">
        <f>IF($A82="","",$J82*$K82)</f>
        <v/>
      </c>
      <c r="N82" s="14">
        <f>IF($A82="","",$M82-$L82)</f>
        <v/>
      </c>
      <c r="O82" s="4" t="inlineStr">
        <is>
          <t>Card</t>
        </is>
      </c>
      <c r="P82" s="15">
        <f>IF($A82="","",DATE(YEAR($A82),MONTH($A82),1))</f>
        <v/>
      </c>
      <c r="Q82" s="16">
        <f>IF($H82="","",$J82*IFERROR(INDEX('Settings'!$L$10:$L$39,MATCH($H82,'Settings'!$I$10:$I$39,0)),0))</f>
        <v/>
      </c>
      <c r="R82" s="17">
        <f>IF($A82="","",$A82-WEEKDAY($A82,2)+1)</f>
        <v/>
      </c>
    </row>
    <row r="83">
      <c r="A83" s="5" t="n">
        <v>46210</v>
      </c>
      <c r="B83" s="4" t="inlineStr">
        <is>
          <t>North branch</t>
        </is>
      </c>
      <c r="C83" s="4" t="inlineStr">
        <is>
          <t>North 1</t>
        </is>
      </c>
      <c r="D83" s="4" t="inlineStr">
        <is>
          <t>Dr Layla Al Qahtani</t>
        </is>
      </c>
      <c r="E83" s="4" t="inlineStr">
        <is>
          <t>P-2335</t>
        </is>
      </c>
      <c r="F83" s="4" t="inlineStr">
        <is>
          <t>Returning</t>
        </is>
      </c>
      <c r="G83" s="4" t="inlineStr">
        <is>
          <t>Instagram</t>
        </is>
      </c>
      <c r="H83" s="4" t="inlineStr">
        <is>
          <t>Sunscreen cream</t>
        </is>
      </c>
      <c r="I83" s="9">
        <f>IF($H83="","",IFERROR(INDEX('Settings'!$J$10:$J$39,MATCH($H83,'Settings'!$I$10:$I$39,0)),""))</f>
        <v/>
      </c>
      <c r="J83" s="6" t="n">
        <v>1</v>
      </c>
      <c r="K83" s="8" t="n">
        <v>120</v>
      </c>
      <c r="L83" s="8" t="n"/>
      <c r="M83" s="14">
        <f>IF($A83="","",$J83*$K83)</f>
        <v/>
      </c>
      <c r="N83" s="14">
        <f>IF($A83="","",$M83-$L83)</f>
        <v/>
      </c>
      <c r="O83" s="4" t="inlineStr">
        <is>
          <t>Cash</t>
        </is>
      </c>
      <c r="P83" s="15">
        <f>IF($A83="","",DATE(YEAR($A83),MONTH($A83),1))</f>
        <v/>
      </c>
      <c r="Q83" s="16">
        <f>IF($H83="","",$J83*IFERROR(INDEX('Settings'!$L$10:$L$39,MATCH($H83,'Settings'!$I$10:$I$39,0)),0))</f>
        <v/>
      </c>
      <c r="R83" s="17">
        <f>IF($A83="","",$A83-WEEKDAY($A83,2)+1)</f>
        <v/>
      </c>
    </row>
    <row r="84">
      <c r="A84" s="5" t="n">
        <v>46210</v>
      </c>
      <c r="B84" s="4" t="inlineStr">
        <is>
          <t>North branch</t>
        </is>
      </c>
      <c r="C84" s="4" t="inlineStr">
        <is>
          <t>North 1</t>
        </is>
      </c>
      <c r="D84" s="4" t="inlineStr">
        <is>
          <t>Dr Khaled Youssef</t>
        </is>
      </c>
      <c r="E84" s="4" t="inlineStr">
        <is>
          <t>P-2622</t>
        </is>
      </c>
      <c r="F84" s="4" t="inlineStr">
        <is>
          <t>Returning</t>
        </is>
      </c>
      <c r="G84" s="4" t="inlineStr">
        <is>
          <t>WhatsApp</t>
        </is>
      </c>
      <c r="H84" s="4" t="inlineStr">
        <is>
          <t>Specialist consultation</t>
        </is>
      </c>
      <c r="I84" s="9">
        <f>IF($H84="","",IFERROR(INDEX('Settings'!$J$10:$J$39,MATCH($H84,'Settings'!$I$10:$I$39,0)),""))</f>
        <v/>
      </c>
      <c r="J84" s="6" t="n">
        <v>1</v>
      </c>
      <c r="K84" s="8" t="n">
        <v>350</v>
      </c>
      <c r="L84" s="8" t="n"/>
      <c r="M84" s="14">
        <f>IF($A84="","",$J84*$K84)</f>
        <v/>
      </c>
      <c r="N84" s="14">
        <f>IF($A84="","",$M84-$L84)</f>
        <v/>
      </c>
      <c r="O84" s="4" t="inlineStr">
        <is>
          <t>Insurance</t>
        </is>
      </c>
      <c r="P84" s="15">
        <f>IF($A84="","",DATE(YEAR($A84),MONTH($A84),1))</f>
        <v/>
      </c>
      <c r="Q84" s="16">
        <f>IF($H84="","",$J84*IFERROR(INDEX('Settings'!$L$10:$L$39,MATCH($H84,'Settings'!$I$10:$I$39,0)),0))</f>
        <v/>
      </c>
      <c r="R84" s="17">
        <f>IF($A84="","",$A84-WEEKDAY($A84,2)+1)</f>
        <v/>
      </c>
    </row>
    <row r="85">
      <c r="A85" s="5" t="n">
        <v>46210</v>
      </c>
      <c r="B85" s="4" t="inlineStr">
        <is>
          <t>North branch</t>
        </is>
      </c>
      <c r="C85" s="4" t="inlineStr">
        <is>
          <t>North 2</t>
        </is>
      </c>
      <c r="D85" s="4" t="inlineStr">
        <is>
          <t>Dr Khaled Youssef</t>
        </is>
      </c>
      <c r="E85" s="4" t="inlineStr">
        <is>
          <t>P-2579</t>
        </is>
      </c>
      <c r="F85" s="4" t="inlineStr">
        <is>
          <t>New</t>
        </is>
      </c>
      <c r="G85" s="4" t="inlineStr">
        <is>
          <t>WhatsApp</t>
        </is>
      </c>
      <c r="H85" s="4" t="inlineStr">
        <is>
          <t>Laser session, face</t>
        </is>
      </c>
      <c r="I85" s="9">
        <f>IF($H85="","",IFERROR(INDEX('Settings'!$J$10:$J$39,MATCH($H85,'Settings'!$I$10:$I$39,0)),""))</f>
        <v/>
      </c>
      <c r="J85" s="6" t="n">
        <v>1</v>
      </c>
      <c r="K85" s="8" t="n">
        <v>600</v>
      </c>
      <c r="L85" s="8" t="n"/>
      <c r="M85" s="14">
        <f>IF($A85="","",$J85*$K85)</f>
        <v/>
      </c>
      <c r="N85" s="14">
        <f>IF($A85="","",$M85-$L85)</f>
        <v/>
      </c>
      <c r="O85" s="4" t="inlineStr">
        <is>
          <t>Cash</t>
        </is>
      </c>
      <c r="P85" s="15">
        <f>IF($A85="","",DATE(YEAR($A85),MONTH($A85),1))</f>
        <v/>
      </c>
      <c r="Q85" s="16">
        <f>IF($H85="","",$J85*IFERROR(INDEX('Settings'!$L$10:$L$39,MATCH($H85,'Settings'!$I$10:$I$39,0)),0))</f>
        <v/>
      </c>
      <c r="R85" s="17">
        <f>IF($A85="","",$A85-WEEKDAY($A85,2)+1)</f>
        <v/>
      </c>
    </row>
    <row r="86">
      <c r="A86" s="5" t="n">
        <v>46210</v>
      </c>
      <c r="B86" s="4" t="inlineStr">
        <is>
          <t>North branch</t>
        </is>
      </c>
      <c r="C86" s="4" t="inlineStr">
        <is>
          <t>North 2</t>
        </is>
      </c>
      <c r="D86" s="4" t="inlineStr">
        <is>
          <t>Dr Mohamed Adel</t>
        </is>
      </c>
      <c r="E86" s="4" t="inlineStr">
        <is>
          <t>P-3353</t>
        </is>
      </c>
      <c r="F86" s="4" t="inlineStr">
        <is>
          <t>Returning</t>
        </is>
      </c>
      <c r="G86" s="4" t="inlineStr">
        <is>
          <t>Referral</t>
        </is>
      </c>
      <c r="H86" s="4" t="inlineStr">
        <is>
          <t>Specialist consultation</t>
        </is>
      </c>
      <c r="I86" s="9">
        <f>IF($H86="","",IFERROR(INDEX('Settings'!$J$10:$J$39,MATCH($H86,'Settings'!$I$10:$I$39,0)),""))</f>
        <v/>
      </c>
      <c r="J86" s="6" t="n">
        <v>1</v>
      </c>
      <c r="K86" s="8" t="n">
        <v>350</v>
      </c>
      <c r="L86" s="8" t="n"/>
      <c r="M86" s="14">
        <f>IF($A86="","",$J86*$K86)</f>
        <v/>
      </c>
      <c r="N86" s="14">
        <f>IF($A86="","",$M86-$L86)</f>
        <v/>
      </c>
      <c r="O86" s="4" t="inlineStr">
        <is>
          <t>Card</t>
        </is>
      </c>
      <c r="P86" s="15">
        <f>IF($A86="","",DATE(YEAR($A86),MONTH($A86),1))</f>
        <v/>
      </c>
      <c r="Q86" s="16">
        <f>IF($H86="","",$J86*IFERROR(INDEX('Settings'!$L$10:$L$39,MATCH($H86,'Settings'!$I$10:$I$39,0)),0))</f>
        <v/>
      </c>
      <c r="R86" s="17">
        <f>IF($A86="","",$A86-WEEKDAY($A86,2)+1)</f>
        <v/>
      </c>
    </row>
    <row r="87">
      <c r="A87" s="5" t="n">
        <v>46211</v>
      </c>
      <c r="B87" s="4" t="inlineStr">
        <is>
          <t>Main branch</t>
        </is>
      </c>
      <c r="C87" s="4" t="inlineStr">
        <is>
          <t>Main 1</t>
        </is>
      </c>
      <c r="D87" s="4" t="inlineStr">
        <is>
          <t>Dr Ahmed Mansour</t>
        </is>
      </c>
      <c r="E87" s="4" t="inlineStr">
        <is>
          <t>P-2585</t>
        </is>
      </c>
      <c r="F87" s="4" t="inlineStr">
        <is>
          <t>New</t>
        </is>
      </c>
      <c r="G87" s="4" t="inlineStr">
        <is>
          <t>Walk-in</t>
        </is>
      </c>
      <c r="H87" s="4" t="inlineStr">
        <is>
          <t>Facial cleansing</t>
        </is>
      </c>
      <c r="I87" s="9">
        <f>IF($H87="","",IFERROR(INDEX('Settings'!$J$10:$J$39,MATCH($H87,'Settings'!$I$10:$I$39,0)),""))</f>
        <v/>
      </c>
      <c r="J87" s="6" t="n">
        <v>1</v>
      </c>
      <c r="K87" s="8" t="n">
        <v>400</v>
      </c>
      <c r="L87" s="8" t="n"/>
      <c r="M87" s="14">
        <f>IF($A87="","",$J87*$K87)</f>
        <v/>
      </c>
      <c r="N87" s="14">
        <f>IF($A87="","",$M87-$L87)</f>
        <v/>
      </c>
      <c r="O87" s="4" t="inlineStr">
        <is>
          <t>Card</t>
        </is>
      </c>
      <c r="P87" s="15">
        <f>IF($A87="","",DATE(YEAR($A87),MONTH($A87),1))</f>
        <v/>
      </c>
      <c r="Q87" s="16">
        <f>IF($H87="","",$J87*IFERROR(INDEX('Settings'!$L$10:$L$39,MATCH($H87,'Settings'!$I$10:$I$39,0)),0))</f>
        <v/>
      </c>
      <c r="R87" s="17">
        <f>IF($A87="","",$A87-WEEKDAY($A87,2)+1)</f>
        <v/>
      </c>
    </row>
    <row r="88">
      <c r="A88" s="5" t="n">
        <v>46211</v>
      </c>
      <c r="B88" s="4" t="inlineStr">
        <is>
          <t>Main branch</t>
        </is>
      </c>
      <c r="C88" s="4" t="inlineStr">
        <is>
          <t>Main 3</t>
        </is>
      </c>
      <c r="D88" s="4" t="inlineStr">
        <is>
          <t>Dr Sara Al Harbi</t>
        </is>
      </c>
      <c r="E88" s="4" t="inlineStr">
        <is>
          <t>P-2814</t>
        </is>
      </c>
      <c r="F88" s="4" t="inlineStr">
        <is>
          <t>Returning</t>
        </is>
      </c>
      <c r="G88" s="4" t="inlineStr">
        <is>
          <t>WhatsApp</t>
        </is>
      </c>
      <c r="H88" s="4" t="inlineStr">
        <is>
          <t>Botulinum toxin</t>
        </is>
      </c>
      <c r="I88" s="9">
        <f>IF($H88="","",IFERROR(INDEX('Settings'!$J$10:$J$39,MATCH($H88,'Settings'!$I$10:$I$39,0)),""))</f>
        <v/>
      </c>
      <c r="J88" s="6" t="n">
        <v>1</v>
      </c>
      <c r="K88" s="8" t="n">
        <v>1500</v>
      </c>
      <c r="L88" s="8" t="n"/>
      <c r="M88" s="14">
        <f>IF($A88="","",$J88*$K88)</f>
        <v/>
      </c>
      <c r="N88" s="14">
        <f>IF($A88="","",$M88-$L88)</f>
        <v/>
      </c>
      <c r="O88" s="4" t="inlineStr">
        <is>
          <t>Card</t>
        </is>
      </c>
      <c r="P88" s="15">
        <f>IF($A88="","",DATE(YEAR($A88),MONTH($A88),1))</f>
        <v/>
      </c>
      <c r="Q88" s="16">
        <f>IF($H88="","",$J88*IFERROR(INDEX('Settings'!$L$10:$L$39,MATCH($H88,'Settings'!$I$10:$I$39,0)),0))</f>
        <v/>
      </c>
      <c r="R88" s="17">
        <f>IF($A88="","",$A88-WEEKDAY($A88,2)+1)</f>
        <v/>
      </c>
    </row>
    <row r="89">
      <c r="A89" s="5" t="n">
        <v>46211</v>
      </c>
      <c r="B89" s="4" t="inlineStr">
        <is>
          <t>Main branch</t>
        </is>
      </c>
      <c r="C89" s="4" t="inlineStr">
        <is>
          <t>Main 4</t>
        </is>
      </c>
      <c r="D89" s="4" t="inlineStr">
        <is>
          <t>Dr Ahmed Mansour</t>
        </is>
      </c>
      <c r="E89" s="4" t="inlineStr">
        <is>
          <t>P-2717</t>
        </is>
      </c>
      <c r="F89" s="4" t="inlineStr">
        <is>
          <t>Returning</t>
        </is>
      </c>
      <c r="G89" s="4" t="inlineStr">
        <is>
          <t>WhatsApp</t>
        </is>
      </c>
      <c r="H89" s="4" t="inlineStr">
        <is>
          <t>Laser session, face</t>
        </is>
      </c>
      <c r="I89" s="9">
        <f>IF($H89="","",IFERROR(INDEX('Settings'!$J$10:$J$39,MATCH($H89,'Settings'!$I$10:$I$39,0)),""))</f>
        <v/>
      </c>
      <c r="J89" s="6" t="n">
        <v>1</v>
      </c>
      <c r="K89" s="8" t="n">
        <v>600</v>
      </c>
      <c r="L89" s="8" t="n"/>
      <c r="M89" s="14">
        <f>IF($A89="","",$J89*$K89)</f>
        <v/>
      </c>
      <c r="N89" s="14">
        <f>IF($A89="","",$M89-$L89)</f>
        <v/>
      </c>
      <c r="O89" s="4" t="inlineStr">
        <is>
          <t>Card</t>
        </is>
      </c>
      <c r="P89" s="15">
        <f>IF($A89="","",DATE(YEAR($A89),MONTH($A89),1))</f>
        <v/>
      </c>
      <c r="Q89" s="16">
        <f>IF($H89="","",$J89*IFERROR(INDEX('Settings'!$L$10:$L$39,MATCH($H89,'Settings'!$I$10:$I$39,0)),0))</f>
        <v/>
      </c>
      <c r="R89" s="17">
        <f>IF($A89="","",$A89-WEEKDAY($A89,2)+1)</f>
        <v/>
      </c>
    </row>
    <row r="90">
      <c r="A90" s="5" t="n">
        <v>46211</v>
      </c>
      <c r="B90" s="4" t="inlineStr">
        <is>
          <t>North branch</t>
        </is>
      </c>
      <c r="C90" s="4" t="inlineStr">
        <is>
          <t>North 1</t>
        </is>
      </c>
      <c r="D90" s="4" t="inlineStr">
        <is>
          <t>Dr Layla Al Qahtani</t>
        </is>
      </c>
      <c r="E90" s="4" t="inlineStr">
        <is>
          <t>P-3088</t>
        </is>
      </c>
      <c r="F90" s="4" t="inlineStr">
        <is>
          <t>Returning</t>
        </is>
      </c>
      <c r="G90" s="4" t="inlineStr">
        <is>
          <t>Referral</t>
        </is>
      </c>
      <c r="H90" s="4" t="inlineStr">
        <is>
          <t>Specialist consultation</t>
        </is>
      </c>
      <c r="I90" s="9">
        <f>IF($H90="","",IFERROR(INDEX('Settings'!$J$10:$J$39,MATCH($H90,'Settings'!$I$10:$I$39,0)),""))</f>
        <v/>
      </c>
      <c r="J90" s="6" t="n">
        <v>1</v>
      </c>
      <c r="K90" s="8" t="n">
        <v>350</v>
      </c>
      <c r="L90" s="8" t="n"/>
      <c r="M90" s="14">
        <f>IF($A90="","",$J90*$K90)</f>
        <v/>
      </c>
      <c r="N90" s="14">
        <f>IF($A90="","",$M90-$L90)</f>
        <v/>
      </c>
      <c r="O90" s="4" t="inlineStr">
        <is>
          <t>Cash</t>
        </is>
      </c>
      <c r="P90" s="15">
        <f>IF($A90="","",DATE(YEAR($A90),MONTH($A90),1))</f>
        <v/>
      </c>
      <c r="Q90" s="16">
        <f>IF($H90="","",$J90*IFERROR(INDEX('Settings'!$L$10:$L$39,MATCH($H90,'Settings'!$I$10:$I$39,0)),0))</f>
        <v/>
      </c>
      <c r="R90" s="17">
        <f>IF($A90="","",$A90-WEEKDAY($A90,2)+1)</f>
        <v/>
      </c>
    </row>
    <row r="91">
      <c r="A91" s="5" t="n">
        <v>46211</v>
      </c>
      <c r="B91" s="4" t="inlineStr">
        <is>
          <t>North branch</t>
        </is>
      </c>
      <c r="C91" s="4" t="inlineStr">
        <is>
          <t>North 1</t>
        </is>
      </c>
      <c r="D91" s="4" t="inlineStr">
        <is>
          <t>Dr Layla Al Qahtani</t>
        </is>
      </c>
      <c r="E91" s="4" t="inlineStr">
        <is>
          <t>P-2503</t>
        </is>
      </c>
      <c r="F91" s="4" t="inlineStr">
        <is>
          <t>New</t>
        </is>
      </c>
      <c r="G91" s="4" t="inlineStr">
        <is>
          <t>Instagram</t>
        </is>
      </c>
      <c r="H91" s="4" t="inlineStr">
        <is>
          <t>Botulinum toxin</t>
        </is>
      </c>
      <c r="I91" s="9">
        <f>IF($H91="","",IFERROR(INDEX('Settings'!$J$10:$J$39,MATCH($H91,'Settings'!$I$10:$I$39,0)),""))</f>
        <v/>
      </c>
      <c r="J91" s="6" t="n">
        <v>1</v>
      </c>
      <c r="K91" s="8" t="n">
        <v>1500</v>
      </c>
      <c r="L91" s="8" t="n">
        <v>150</v>
      </c>
      <c r="M91" s="14">
        <f>IF($A91="","",$J91*$K91)</f>
        <v/>
      </c>
      <c r="N91" s="14">
        <f>IF($A91="","",$M91-$L91)</f>
        <v/>
      </c>
      <c r="O91" s="4" t="inlineStr">
        <is>
          <t>Card</t>
        </is>
      </c>
      <c r="P91" s="15">
        <f>IF($A91="","",DATE(YEAR($A91),MONTH($A91),1))</f>
        <v/>
      </c>
      <c r="Q91" s="16">
        <f>IF($H91="","",$J91*IFERROR(INDEX('Settings'!$L$10:$L$39,MATCH($H91,'Settings'!$I$10:$I$39,0)),0))</f>
        <v/>
      </c>
      <c r="R91" s="17">
        <f>IF($A91="","",$A91-WEEKDAY($A91,2)+1)</f>
        <v/>
      </c>
    </row>
    <row r="92">
      <c r="A92" s="5" t="n">
        <v>46211</v>
      </c>
      <c r="B92" s="4" t="inlineStr">
        <is>
          <t>North branch</t>
        </is>
      </c>
      <c r="C92" s="4" t="inlineStr">
        <is>
          <t>North 1</t>
        </is>
      </c>
      <c r="D92" s="4" t="inlineStr">
        <is>
          <t>Dr Mohamed Adel</t>
        </is>
      </c>
      <c r="E92" s="4" t="inlineStr">
        <is>
          <t>P-2464</t>
        </is>
      </c>
      <c r="F92" s="4" t="inlineStr">
        <is>
          <t>Returning</t>
        </is>
      </c>
      <c r="G92" s="4" t="inlineStr">
        <is>
          <t>Instagram</t>
        </is>
      </c>
      <c r="H92" s="4" t="inlineStr">
        <is>
          <t>Laser session, body</t>
        </is>
      </c>
      <c r="I92" s="9">
        <f>IF($H92="","",IFERROR(INDEX('Settings'!$J$10:$J$39,MATCH($H92,'Settings'!$I$10:$I$39,0)),""))</f>
        <v/>
      </c>
      <c r="J92" s="6" t="n">
        <v>1</v>
      </c>
      <c r="K92" s="8" t="n">
        <v>1200</v>
      </c>
      <c r="L92" s="8" t="n"/>
      <c r="M92" s="14">
        <f>IF($A92="","",$J92*$K92)</f>
        <v/>
      </c>
      <c r="N92" s="14">
        <f>IF($A92="","",$M92-$L92)</f>
        <v/>
      </c>
      <c r="O92" s="4" t="inlineStr">
        <is>
          <t>Card</t>
        </is>
      </c>
      <c r="P92" s="15">
        <f>IF($A92="","",DATE(YEAR($A92),MONTH($A92),1))</f>
        <v/>
      </c>
      <c r="Q92" s="16">
        <f>IF($H92="","",$J92*IFERROR(INDEX('Settings'!$L$10:$L$39,MATCH($H92,'Settings'!$I$10:$I$39,0)),0))</f>
        <v/>
      </c>
      <c r="R92" s="17">
        <f>IF($A92="","",$A92-WEEKDAY($A92,2)+1)</f>
        <v/>
      </c>
    </row>
    <row r="93">
      <c r="A93" s="5" t="n">
        <v>46211</v>
      </c>
      <c r="B93" s="4" t="inlineStr">
        <is>
          <t>North branch</t>
        </is>
      </c>
      <c r="C93" s="4" t="inlineStr">
        <is>
          <t>North 1</t>
        </is>
      </c>
      <c r="D93" s="4" t="inlineStr">
        <is>
          <t>Dr Layla Al Qahtani</t>
        </is>
      </c>
      <c r="E93" s="4" t="inlineStr">
        <is>
          <t>P-3124</t>
        </is>
      </c>
      <c r="F93" s="4" t="inlineStr">
        <is>
          <t>Returning</t>
        </is>
      </c>
      <c r="G93" s="4" t="inlineStr">
        <is>
          <t>Google</t>
        </is>
      </c>
      <c r="H93" s="4" t="inlineStr">
        <is>
          <t>Physiotherapy session</t>
        </is>
      </c>
      <c r="I93" s="9">
        <f>IF($H93="","",IFERROR(INDEX('Settings'!$J$10:$J$39,MATCH($H93,'Settings'!$I$10:$I$39,0)),""))</f>
        <v/>
      </c>
      <c r="J93" s="6" t="n">
        <v>1</v>
      </c>
      <c r="K93" s="8" t="n">
        <v>300</v>
      </c>
      <c r="L93" s="8" t="n"/>
      <c r="M93" s="14">
        <f>IF($A93="","",$J93*$K93)</f>
        <v/>
      </c>
      <c r="N93" s="14">
        <f>IF($A93="","",$M93-$L93)</f>
        <v/>
      </c>
      <c r="O93" s="4" t="inlineStr">
        <is>
          <t>Payment link</t>
        </is>
      </c>
      <c r="P93" s="15">
        <f>IF($A93="","",DATE(YEAR($A93),MONTH($A93),1))</f>
        <v/>
      </c>
      <c r="Q93" s="16">
        <f>IF($H93="","",$J93*IFERROR(INDEX('Settings'!$L$10:$L$39,MATCH($H93,'Settings'!$I$10:$I$39,0)),0))</f>
        <v/>
      </c>
      <c r="R93" s="17">
        <f>IF($A93="","",$A93-WEEKDAY($A93,2)+1)</f>
        <v/>
      </c>
    </row>
    <row r="94">
      <c r="A94" s="5" t="n">
        <v>46211</v>
      </c>
      <c r="B94" s="4" t="inlineStr">
        <is>
          <t>North branch</t>
        </is>
      </c>
      <c r="C94" s="4" t="inlineStr">
        <is>
          <t>North 2</t>
        </is>
      </c>
      <c r="D94" s="4" t="inlineStr">
        <is>
          <t>Dr Layla Al Qahtani</t>
        </is>
      </c>
      <c r="E94" s="4" t="inlineStr">
        <is>
          <t>P-2547</t>
        </is>
      </c>
      <c r="F94" s="4" t="inlineStr">
        <is>
          <t>Returning</t>
        </is>
      </c>
      <c r="G94" s="4" t="inlineStr">
        <is>
          <t>Instagram</t>
        </is>
      </c>
      <c r="H94" s="4" t="inlineStr">
        <is>
          <t>Facial cleansing</t>
        </is>
      </c>
      <c r="I94" s="9">
        <f>IF($H94="","",IFERROR(INDEX('Settings'!$J$10:$J$39,MATCH($H94,'Settings'!$I$10:$I$39,0)),""))</f>
        <v/>
      </c>
      <c r="J94" s="6" t="n">
        <v>1</v>
      </c>
      <c r="K94" s="8" t="n">
        <v>400</v>
      </c>
      <c r="L94" s="8" t="n"/>
      <c r="M94" s="14">
        <f>IF($A94="","",$J94*$K94)</f>
        <v/>
      </c>
      <c r="N94" s="14">
        <f>IF($A94="","",$M94-$L94)</f>
        <v/>
      </c>
      <c r="O94" s="4" t="inlineStr">
        <is>
          <t>Cash</t>
        </is>
      </c>
      <c r="P94" s="15">
        <f>IF($A94="","",DATE(YEAR($A94),MONTH($A94),1))</f>
        <v/>
      </c>
      <c r="Q94" s="16">
        <f>IF($H94="","",$J94*IFERROR(INDEX('Settings'!$L$10:$L$39,MATCH($H94,'Settings'!$I$10:$I$39,0)),0))</f>
        <v/>
      </c>
      <c r="R94" s="17">
        <f>IF($A94="","",$A94-WEEKDAY($A94,2)+1)</f>
        <v/>
      </c>
    </row>
    <row r="95">
      <c r="A95" s="5" t="n">
        <v>46211</v>
      </c>
      <c r="B95" s="4" t="inlineStr">
        <is>
          <t>North branch</t>
        </is>
      </c>
      <c r="C95" s="4" t="inlineStr">
        <is>
          <t>North 2</t>
        </is>
      </c>
      <c r="D95" s="4" t="inlineStr">
        <is>
          <t>Dr Khaled Youssef</t>
        </is>
      </c>
      <c r="E95" s="4" t="inlineStr">
        <is>
          <t>P-3342</t>
        </is>
      </c>
      <c r="F95" s="4" t="inlineStr">
        <is>
          <t>Returning</t>
        </is>
      </c>
      <c r="G95" s="4" t="inlineStr">
        <is>
          <t>WhatsApp</t>
        </is>
      </c>
      <c r="H95" s="4" t="inlineStr">
        <is>
          <t>Laser session, body</t>
        </is>
      </c>
      <c r="I95" s="9">
        <f>IF($H95="","",IFERROR(INDEX('Settings'!$J$10:$J$39,MATCH($H95,'Settings'!$I$10:$I$39,0)),""))</f>
        <v/>
      </c>
      <c r="J95" s="6" t="n">
        <v>1</v>
      </c>
      <c r="K95" s="8" t="n">
        <v>1200</v>
      </c>
      <c r="L95" s="8" t="n">
        <v>120</v>
      </c>
      <c r="M95" s="14">
        <f>IF($A95="","",$J95*$K95)</f>
        <v/>
      </c>
      <c r="N95" s="14">
        <f>IF($A95="","",$M95-$L95)</f>
        <v/>
      </c>
      <c r="O95" s="4" t="inlineStr">
        <is>
          <t>Cash</t>
        </is>
      </c>
      <c r="P95" s="15">
        <f>IF($A95="","",DATE(YEAR($A95),MONTH($A95),1))</f>
        <v/>
      </c>
      <c r="Q95" s="16">
        <f>IF($H95="","",$J95*IFERROR(INDEX('Settings'!$L$10:$L$39,MATCH($H95,'Settings'!$I$10:$I$39,0)),0))</f>
        <v/>
      </c>
      <c r="R95" s="17">
        <f>IF($A95="","",$A95-WEEKDAY($A95,2)+1)</f>
        <v/>
      </c>
    </row>
    <row r="96">
      <c r="A96" s="5" t="n">
        <v>46211</v>
      </c>
      <c r="B96" s="4" t="inlineStr">
        <is>
          <t>North branch</t>
        </is>
      </c>
      <c r="C96" s="4" t="inlineStr">
        <is>
          <t>North 2</t>
        </is>
      </c>
      <c r="D96" s="4" t="inlineStr">
        <is>
          <t>Dr Khaled Youssef</t>
        </is>
      </c>
      <c r="E96" s="4" t="inlineStr">
        <is>
          <t>P-3382</t>
        </is>
      </c>
      <c r="F96" s="4" t="inlineStr">
        <is>
          <t>Returning</t>
        </is>
      </c>
      <c r="G96" s="4" t="inlineStr">
        <is>
          <t>Instagram</t>
        </is>
      </c>
      <c r="H96" s="4" t="inlineStr">
        <is>
          <t>Specialist consultation</t>
        </is>
      </c>
      <c r="I96" s="9">
        <f>IF($H96="","",IFERROR(INDEX('Settings'!$J$10:$J$39,MATCH($H96,'Settings'!$I$10:$I$39,0)),""))</f>
        <v/>
      </c>
      <c r="J96" s="6" t="n">
        <v>1</v>
      </c>
      <c r="K96" s="8" t="n">
        <v>350</v>
      </c>
      <c r="L96" s="8" t="n"/>
      <c r="M96" s="14">
        <f>IF($A96="","",$J96*$K96)</f>
        <v/>
      </c>
      <c r="N96" s="14">
        <f>IF($A96="","",$M96-$L96)</f>
        <v/>
      </c>
      <c r="O96" s="4" t="inlineStr">
        <is>
          <t>Card</t>
        </is>
      </c>
      <c r="P96" s="15">
        <f>IF($A96="","",DATE(YEAR($A96),MONTH($A96),1))</f>
        <v/>
      </c>
      <c r="Q96" s="16">
        <f>IF($H96="","",$J96*IFERROR(INDEX('Settings'!$L$10:$L$39,MATCH($H96,'Settings'!$I$10:$I$39,0)),0))</f>
        <v/>
      </c>
      <c r="R96" s="17">
        <f>IF($A96="","",$A96-WEEKDAY($A96,2)+1)</f>
        <v/>
      </c>
    </row>
    <row r="97">
      <c r="A97" s="5" t="n">
        <v>46212</v>
      </c>
      <c r="B97" s="4" t="inlineStr">
        <is>
          <t>Main branch</t>
        </is>
      </c>
      <c r="C97" s="4" t="inlineStr">
        <is>
          <t>Main 1</t>
        </is>
      </c>
      <c r="D97" s="4" t="inlineStr">
        <is>
          <t>Dr Noura Al Subaie</t>
        </is>
      </c>
      <c r="E97" s="4" t="inlineStr">
        <is>
          <t>P-2784</t>
        </is>
      </c>
      <c r="F97" s="4" t="inlineStr">
        <is>
          <t>Returning</t>
        </is>
      </c>
      <c r="G97" s="4" t="inlineStr">
        <is>
          <t>Referral</t>
        </is>
      </c>
      <c r="H97" s="4" t="inlineStr">
        <is>
          <t>Filler injection</t>
        </is>
      </c>
      <c r="I97" s="9">
        <f>IF($H97="","",IFERROR(INDEX('Settings'!$J$10:$J$39,MATCH($H97,'Settings'!$I$10:$I$39,0)),""))</f>
        <v/>
      </c>
      <c r="J97" s="6" t="n">
        <v>1</v>
      </c>
      <c r="K97" s="8" t="n">
        <v>1800</v>
      </c>
      <c r="L97" s="8" t="n"/>
      <c r="M97" s="14">
        <f>IF($A97="","",$J97*$K97)</f>
        <v/>
      </c>
      <c r="N97" s="14">
        <f>IF($A97="","",$M97-$L97)</f>
        <v/>
      </c>
      <c r="O97" s="4" t="inlineStr">
        <is>
          <t>Card</t>
        </is>
      </c>
      <c r="P97" s="15">
        <f>IF($A97="","",DATE(YEAR($A97),MONTH($A97),1))</f>
        <v/>
      </c>
      <c r="Q97" s="16">
        <f>IF($H97="","",$J97*IFERROR(INDEX('Settings'!$L$10:$L$39,MATCH($H97,'Settings'!$I$10:$I$39,0)),0))</f>
        <v/>
      </c>
      <c r="R97" s="17">
        <f>IF($A97="","",$A97-WEEKDAY($A97,2)+1)</f>
        <v/>
      </c>
    </row>
    <row r="98">
      <c r="A98" s="5" t="n">
        <v>46212</v>
      </c>
      <c r="B98" s="4" t="inlineStr">
        <is>
          <t>Main branch</t>
        </is>
      </c>
      <c r="C98" s="4" t="inlineStr">
        <is>
          <t>Main 2</t>
        </is>
      </c>
      <c r="D98" s="4" t="inlineStr">
        <is>
          <t>Dr Ahmed Mansour</t>
        </is>
      </c>
      <c r="E98" s="4" t="inlineStr">
        <is>
          <t>P-2273</t>
        </is>
      </c>
      <c r="F98" s="4" t="inlineStr">
        <is>
          <t>Returning</t>
        </is>
      </c>
      <c r="G98" s="4" t="inlineStr">
        <is>
          <t>WhatsApp</t>
        </is>
      </c>
      <c r="H98" s="4" t="inlineStr">
        <is>
          <t>Facial cleansing</t>
        </is>
      </c>
      <c r="I98" s="9">
        <f>IF($H98="","",IFERROR(INDEX('Settings'!$J$10:$J$39,MATCH($H98,'Settings'!$I$10:$I$39,0)),""))</f>
        <v/>
      </c>
      <c r="J98" s="6" t="n">
        <v>1</v>
      </c>
      <c r="K98" s="8" t="n">
        <v>400</v>
      </c>
      <c r="L98" s="8" t="n"/>
      <c r="M98" s="14">
        <f>IF($A98="","",$J98*$K98)</f>
        <v/>
      </c>
      <c r="N98" s="14">
        <f>IF($A98="","",$M98-$L98)</f>
        <v/>
      </c>
      <c r="O98" s="4" t="inlineStr">
        <is>
          <t>Cash</t>
        </is>
      </c>
      <c r="P98" s="15">
        <f>IF($A98="","",DATE(YEAR($A98),MONTH($A98),1))</f>
        <v/>
      </c>
      <c r="Q98" s="16">
        <f>IF($H98="","",$J98*IFERROR(INDEX('Settings'!$L$10:$L$39,MATCH($H98,'Settings'!$I$10:$I$39,0)),0))</f>
        <v/>
      </c>
      <c r="R98" s="17">
        <f>IF($A98="","",$A98-WEEKDAY($A98,2)+1)</f>
        <v/>
      </c>
    </row>
    <row r="99">
      <c r="A99" s="5" t="n">
        <v>46212</v>
      </c>
      <c r="B99" s="4" t="inlineStr">
        <is>
          <t>Main branch</t>
        </is>
      </c>
      <c r="C99" s="4" t="inlineStr">
        <is>
          <t>Main 2</t>
        </is>
      </c>
      <c r="D99" s="4" t="inlineStr">
        <is>
          <t>Dr Noura Al Subaie</t>
        </is>
      </c>
      <c r="E99" s="4" t="inlineStr">
        <is>
          <t>P-3274</t>
        </is>
      </c>
      <c r="F99" s="4" t="inlineStr">
        <is>
          <t>Returning</t>
        </is>
      </c>
      <c r="G99" s="4" t="inlineStr">
        <is>
          <t>Walk-in</t>
        </is>
      </c>
      <c r="H99" s="4" t="inlineStr">
        <is>
          <t>Skin tag removal</t>
        </is>
      </c>
      <c r="I99" s="9">
        <f>IF($H99="","",IFERROR(INDEX('Settings'!$J$10:$J$39,MATCH($H99,'Settings'!$I$10:$I$39,0)),""))</f>
        <v/>
      </c>
      <c r="J99" s="6" t="n">
        <v>1</v>
      </c>
      <c r="K99" s="8" t="n">
        <v>500</v>
      </c>
      <c r="L99" s="8" t="n"/>
      <c r="M99" s="14">
        <f>IF($A99="","",$J99*$K99)</f>
        <v/>
      </c>
      <c r="N99" s="14">
        <f>IF($A99="","",$M99-$L99)</f>
        <v/>
      </c>
      <c r="O99" s="4" t="inlineStr">
        <is>
          <t>Card</t>
        </is>
      </c>
      <c r="P99" s="15">
        <f>IF($A99="","",DATE(YEAR($A99),MONTH($A99),1))</f>
        <v/>
      </c>
      <c r="Q99" s="16">
        <f>IF($H99="","",$J99*IFERROR(INDEX('Settings'!$L$10:$L$39,MATCH($H99,'Settings'!$I$10:$I$39,0)),0))</f>
        <v/>
      </c>
      <c r="R99" s="17">
        <f>IF($A99="","",$A99-WEEKDAY($A99,2)+1)</f>
        <v/>
      </c>
    </row>
    <row r="100">
      <c r="A100" s="5" t="n">
        <v>46212</v>
      </c>
      <c r="B100" s="4" t="inlineStr">
        <is>
          <t>North branch</t>
        </is>
      </c>
      <c r="C100" s="4" t="inlineStr">
        <is>
          <t>North 1</t>
        </is>
      </c>
      <c r="D100" s="4" t="inlineStr">
        <is>
          <t>Dr Khaled Youssef</t>
        </is>
      </c>
      <c r="E100" s="4" t="inlineStr">
        <is>
          <t>P-2247</t>
        </is>
      </c>
      <c r="F100" s="4" t="inlineStr">
        <is>
          <t>Returning</t>
        </is>
      </c>
      <c r="G100" s="4" t="inlineStr">
        <is>
          <t>WhatsApp</t>
        </is>
      </c>
      <c r="H100" s="4" t="inlineStr">
        <is>
          <t>Botulinum toxin</t>
        </is>
      </c>
      <c r="I100" s="9">
        <f>IF($H100="","",IFERROR(INDEX('Settings'!$J$10:$J$39,MATCH($H100,'Settings'!$I$10:$I$39,0)),""))</f>
        <v/>
      </c>
      <c r="J100" s="6" t="n">
        <v>1</v>
      </c>
      <c r="K100" s="8" t="n">
        <v>1500</v>
      </c>
      <c r="L100" s="8" t="n"/>
      <c r="M100" s="14">
        <f>IF($A100="","",$J100*$K100)</f>
        <v/>
      </c>
      <c r="N100" s="14">
        <f>IF($A100="","",$M100-$L100)</f>
        <v/>
      </c>
      <c r="O100" s="4" t="inlineStr">
        <is>
          <t>Card</t>
        </is>
      </c>
      <c r="P100" s="15">
        <f>IF($A100="","",DATE(YEAR($A100),MONTH($A100),1))</f>
        <v/>
      </c>
      <c r="Q100" s="16">
        <f>IF($H100="","",$J100*IFERROR(INDEX('Settings'!$L$10:$L$39,MATCH($H100,'Settings'!$I$10:$I$39,0)),0))</f>
        <v/>
      </c>
      <c r="R100" s="17">
        <f>IF($A100="","",$A100-WEEKDAY($A100,2)+1)</f>
        <v/>
      </c>
    </row>
    <row r="101">
      <c r="A101" s="5" t="n">
        <v>46212</v>
      </c>
      <c r="B101" s="4" t="inlineStr">
        <is>
          <t>North branch</t>
        </is>
      </c>
      <c r="C101" s="4" t="inlineStr">
        <is>
          <t>North 1</t>
        </is>
      </c>
      <c r="D101" s="4" t="inlineStr">
        <is>
          <t>Dr Khaled Youssef</t>
        </is>
      </c>
      <c r="E101" s="4" t="inlineStr">
        <is>
          <t>P-3235</t>
        </is>
      </c>
      <c r="F101" s="4" t="inlineStr">
        <is>
          <t>Returning</t>
        </is>
      </c>
      <c r="G101" s="4" t="inlineStr">
        <is>
          <t>Instagram</t>
        </is>
      </c>
      <c r="H101" s="4" t="inlineStr">
        <is>
          <t>Filler injection</t>
        </is>
      </c>
      <c r="I101" s="9">
        <f>IF($H101="","",IFERROR(INDEX('Settings'!$J$10:$J$39,MATCH($H101,'Settings'!$I$10:$I$39,0)),""))</f>
        <v/>
      </c>
      <c r="J101" s="6" t="n">
        <v>1</v>
      </c>
      <c r="K101" s="8" t="n">
        <v>1800</v>
      </c>
      <c r="L101" s="8" t="n"/>
      <c r="M101" s="14">
        <f>IF($A101="","",$J101*$K101)</f>
        <v/>
      </c>
      <c r="N101" s="14">
        <f>IF($A101="","",$M101-$L101)</f>
        <v/>
      </c>
      <c r="O101" s="4" t="inlineStr">
        <is>
          <t>Cash</t>
        </is>
      </c>
      <c r="P101" s="15">
        <f>IF($A101="","",DATE(YEAR($A101),MONTH($A101),1))</f>
        <v/>
      </c>
      <c r="Q101" s="16">
        <f>IF($H101="","",$J101*IFERROR(INDEX('Settings'!$L$10:$L$39,MATCH($H101,'Settings'!$I$10:$I$39,0)),0))</f>
        <v/>
      </c>
      <c r="R101" s="17">
        <f>IF($A101="","",$A101-WEEKDAY($A101,2)+1)</f>
        <v/>
      </c>
    </row>
    <row r="102">
      <c r="A102" s="5" t="n">
        <v>46212</v>
      </c>
      <c r="B102" s="4" t="inlineStr">
        <is>
          <t>North branch</t>
        </is>
      </c>
      <c r="C102" s="4" t="inlineStr">
        <is>
          <t>North 1</t>
        </is>
      </c>
      <c r="D102" s="4" t="inlineStr">
        <is>
          <t>Dr Layla Al Qahtani</t>
        </is>
      </c>
      <c r="E102" s="4" t="inlineStr">
        <is>
          <t>P-2751</t>
        </is>
      </c>
      <c r="F102" s="4" t="inlineStr">
        <is>
          <t>Returning</t>
        </is>
      </c>
      <c r="G102" s="4" t="inlineStr">
        <is>
          <t>Walk-in</t>
        </is>
      </c>
      <c r="H102" s="4" t="inlineStr">
        <is>
          <t>Skin tag removal</t>
        </is>
      </c>
      <c r="I102" s="9">
        <f>IF($H102="","",IFERROR(INDEX('Settings'!$J$10:$J$39,MATCH($H102,'Settings'!$I$10:$I$39,0)),""))</f>
        <v/>
      </c>
      <c r="J102" s="6" t="n">
        <v>1</v>
      </c>
      <c r="K102" s="8" t="n">
        <v>500</v>
      </c>
      <c r="L102" s="8" t="n"/>
      <c r="M102" s="14">
        <f>IF($A102="","",$J102*$K102)</f>
        <v/>
      </c>
      <c r="N102" s="14">
        <f>IF($A102="","",$M102-$L102)</f>
        <v/>
      </c>
      <c r="O102" s="4" t="inlineStr">
        <is>
          <t>Card</t>
        </is>
      </c>
      <c r="P102" s="15">
        <f>IF($A102="","",DATE(YEAR($A102),MONTH($A102),1))</f>
        <v/>
      </c>
      <c r="Q102" s="16">
        <f>IF($H102="","",$J102*IFERROR(INDEX('Settings'!$L$10:$L$39,MATCH($H102,'Settings'!$I$10:$I$39,0)),0))</f>
        <v/>
      </c>
      <c r="R102" s="17">
        <f>IF($A102="","",$A102-WEEKDAY($A102,2)+1)</f>
        <v/>
      </c>
    </row>
    <row r="103">
      <c r="A103" s="5" t="n">
        <v>46212</v>
      </c>
      <c r="B103" s="4" t="inlineStr">
        <is>
          <t>North branch</t>
        </is>
      </c>
      <c r="C103" s="4" t="inlineStr">
        <is>
          <t>North 1</t>
        </is>
      </c>
      <c r="D103" s="4" t="inlineStr">
        <is>
          <t>Dr Khaled Youssef</t>
        </is>
      </c>
      <c r="E103" s="4" t="inlineStr">
        <is>
          <t>P-3256</t>
        </is>
      </c>
      <c r="F103" s="4" t="inlineStr">
        <is>
          <t>New</t>
        </is>
      </c>
      <c r="G103" s="4" t="inlineStr">
        <is>
          <t>Walk-in</t>
        </is>
      </c>
      <c r="H103" s="4" t="inlineStr">
        <is>
          <t>Laser session, face</t>
        </is>
      </c>
      <c r="I103" s="9">
        <f>IF($H103="","",IFERROR(INDEX('Settings'!$J$10:$J$39,MATCH($H103,'Settings'!$I$10:$I$39,0)),""))</f>
        <v/>
      </c>
      <c r="J103" s="6" t="n">
        <v>1</v>
      </c>
      <c r="K103" s="8" t="n">
        <v>600</v>
      </c>
      <c r="L103" s="8" t="n"/>
      <c r="M103" s="14">
        <f>IF($A103="","",$J103*$K103)</f>
        <v/>
      </c>
      <c r="N103" s="14">
        <f>IF($A103="","",$M103-$L103)</f>
        <v/>
      </c>
      <c r="O103" s="4" t="inlineStr">
        <is>
          <t>Insurance</t>
        </is>
      </c>
      <c r="P103" s="15">
        <f>IF($A103="","",DATE(YEAR($A103),MONTH($A103),1))</f>
        <v/>
      </c>
      <c r="Q103" s="16">
        <f>IF($H103="","",$J103*IFERROR(INDEX('Settings'!$L$10:$L$39,MATCH($H103,'Settings'!$I$10:$I$39,0)),0))</f>
        <v/>
      </c>
      <c r="R103" s="17">
        <f>IF($A103="","",$A103-WEEKDAY($A103,2)+1)</f>
        <v/>
      </c>
    </row>
    <row r="104">
      <c r="A104" s="5" t="n">
        <v>46212</v>
      </c>
      <c r="B104" s="4" t="inlineStr">
        <is>
          <t>North branch</t>
        </is>
      </c>
      <c r="C104" s="4" t="inlineStr">
        <is>
          <t>North 1</t>
        </is>
      </c>
      <c r="D104" s="4" t="inlineStr">
        <is>
          <t>Dr Layla Al Qahtani</t>
        </is>
      </c>
      <c r="E104" s="4" t="inlineStr">
        <is>
          <t>P-3441</t>
        </is>
      </c>
      <c r="F104" s="4" t="inlineStr">
        <is>
          <t>Returning</t>
        </is>
      </c>
      <c r="G104" s="4" t="inlineStr">
        <is>
          <t>Instagram</t>
        </is>
      </c>
      <c r="H104" s="4" t="inlineStr">
        <is>
          <t>Skin tag removal</t>
        </is>
      </c>
      <c r="I104" s="9">
        <f>IF($H104="","",IFERROR(INDEX('Settings'!$J$10:$J$39,MATCH($H104,'Settings'!$I$10:$I$39,0)),""))</f>
        <v/>
      </c>
      <c r="J104" s="6" t="n">
        <v>1</v>
      </c>
      <c r="K104" s="8" t="n">
        <v>500</v>
      </c>
      <c r="L104" s="8" t="n"/>
      <c r="M104" s="14">
        <f>IF($A104="","",$J104*$K104)</f>
        <v/>
      </c>
      <c r="N104" s="14">
        <f>IF($A104="","",$M104-$L104)</f>
        <v/>
      </c>
      <c r="O104" s="4" t="inlineStr">
        <is>
          <t>Insurance</t>
        </is>
      </c>
      <c r="P104" s="15">
        <f>IF($A104="","",DATE(YEAR($A104),MONTH($A104),1))</f>
        <v/>
      </c>
      <c r="Q104" s="16">
        <f>IF($H104="","",$J104*IFERROR(INDEX('Settings'!$L$10:$L$39,MATCH($H104,'Settings'!$I$10:$I$39,0)),0))</f>
        <v/>
      </c>
      <c r="R104" s="17">
        <f>IF($A104="","",$A104-WEEKDAY($A104,2)+1)</f>
        <v/>
      </c>
    </row>
    <row r="105">
      <c r="A105" s="5" t="n">
        <v>46212</v>
      </c>
      <c r="B105" s="4" t="inlineStr">
        <is>
          <t>North branch</t>
        </is>
      </c>
      <c r="C105" s="4" t="inlineStr">
        <is>
          <t>North 2</t>
        </is>
      </c>
      <c r="D105" s="4" t="inlineStr">
        <is>
          <t>Dr Khaled Youssef</t>
        </is>
      </c>
      <c r="E105" s="4" t="inlineStr">
        <is>
          <t>P-2948</t>
        </is>
      </c>
      <c r="F105" s="4" t="inlineStr">
        <is>
          <t>Returning</t>
        </is>
      </c>
      <c r="G105" s="4" t="inlineStr">
        <is>
          <t>Referral</t>
        </is>
      </c>
      <c r="H105" s="4" t="inlineStr">
        <is>
          <t>Facial cleansing</t>
        </is>
      </c>
      <c r="I105" s="9">
        <f>IF($H105="","",IFERROR(INDEX('Settings'!$J$10:$J$39,MATCH($H105,'Settings'!$I$10:$I$39,0)),""))</f>
        <v/>
      </c>
      <c r="J105" s="6" t="n">
        <v>1</v>
      </c>
      <c r="K105" s="8" t="n">
        <v>400</v>
      </c>
      <c r="L105" s="8" t="n"/>
      <c r="M105" s="14">
        <f>IF($A105="","",$J105*$K105)</f>
        <v/>
      </c>
      <c r="N105" s="14">
        <f>IF($A105="","",$M105-$L105)</f>
        <v/>
      </c>
      <c r="O105" s="4" t="inlineStr">
        <is>
          <t>Card</t>
        </is>
      </c>
      <c r="P105" s="15">
        <f>IF($A105="","",DATE(YEAR($A105),MONTH($A105),1))</f>
        <v/>
      </c>
      <c r="Q105" s="16">
        <f>IF($H105="","",$J105*IFERROR(INDEX('Settings'!$L$10:$L$39,MATCH($H105,'Settings'!$I$10:$I$39,0)),0))</f>
        <v/>
      </c>
      <c r="R105" s="17">
        <f>IF($A105="","",$A105-WEEKDAY($A105,2)+1)</f>
        <v/>
      </c>
    </row>
    <row r="106">
      <c r="A106" s="5" t="n">
        <v>46212</v>
      </c>
      <c r="B106" s="4" t="inlineStr">
        <is>
          <t>North branch</t>
        </is>
      </c>
      <c r="C106" s="4" t="inlineStr">
        <is>
          <t>North 2</t>
        </is>
      </c>
      <c r="D106" s="4" t="inlineStr">
        <is>
          <t>Dr Mohamed Adel</t>
        </is>
      </c>
      <c r="E106" s="4" t="inlineStr">
        <is>
          <t>P-3195</t>
        </is>
      </c>
      <c r="F106" s="4" t="inlineStr">
        <is>
          <t>Returning</t>
        </is>
      </c>
      <c r="G106" s="4" t="inlineStr">
        <is>
          <t>WhatsApp</t>
        </is>
      </c>
      <c r="H106" s="4" t="inlineStr">
        <is>
          <t>Follow-up visit</t>
        </is>
      </c>
      <c r="I106" s="9">
        <f>IF($H106="","",IFERROR(INDEX('Settings'!$J$10:$J$39,MATCH($H106,'Settings'!$I$10:$I$39,0)),""))</f>
        <v/>
      </c>
      <c r="J106" s="6" t="n">
        <v>1</v>
      </c>
      <c r="K106" s="8" t="n">
        <v>150</v>
      </c>
      <c r="L106" s="8" t="n"/>
      <c r="M106" s="14">
        <f>IF($A106="","",$J106*$K106)</f>
        <v/>
      </c>
      <c r="N106" s="14">
        <f>IF($A106="","",$M106-$L106)</f>
        <v/>
      </c>
      <c r="O106" s="4" t="inlineStr">
        <is>
          <t>Insurance</t>
        </is>
      </c>
      <c r="P106" s="15">
        <f>IF($A106="","",DATE(YEAR($A106),MONTH($A106),1))</f>
        <v/>
      </c>
      <c r="Q106" s="16">
        <f>IF($H106="","",$J106*IFERROR(INDEX('Settings'!$L$10:$L$39,MATCH($H106,'Settings'!$I$10:$I$39,0)),0))</f>
        <v/>
      </c>
      <c r="R106" s="17">
        <f>IF($A106="","",$A106-WEEKDAY($A106,2)+1)</f>
        <v/>
      </c>
    </row>
    <row r="107">
      <c r="A107" s="5" t="n">
        <v>46212</v>
      </c>
      <c r="B107" s="4" t="inlineStr">
        <is>
          <t>North branch</t>
        </is>
      </c>
      <c r="C107" s="4" t="inlineStr">
        <is>
          <t>North 2</t>
        </is>
      </c>
      <c r="D107" s="4" t="inlineStr">
        <is>
          <t>Dr Layla Al Qahtani</t>
        </is>
      </c>
      <c r="E107" s="4" t="inlineStr">
        <is>
          <t>P-2508</t>
        </is>
      </c>
      <c r="F107" s="4" t="inlineStr">
        <is>
          <t>Returning</t>
        </is>
      </c>
      <c r="G107" s="4" t="inlineStr">
        <is>
          <t>WhatsApp</t>
        </is>
      </c>
      <c r="H107" s="4" t="inlineStr">
        <is>
          <t>Sunscreen cream</t>
        </is>
      </c>
      <c r="I107" s="9">
        <f>IF($H107="","",IFERROR(INDEX('Settings'!$J$10:$J$39,MATCH($H107,'Settings'!$I$10:$I$39,0)),""))</f>
        <v/>
      </c>
      <c r="J107" s="6" t="n">
        <v>1</v>
      </c>
      <c r="K107" s="8" t="n">
        <v>120</v>
      </c>
      <c r="L107" s="8" t="n"/>
      <c r="M107" s="14">
        <f>IF($A107="","",$J107*$K107)</f>
        <v/>
      </c>
      <c r="N107" s="14">
        <f>IF($A107="","",$M107-$L107)</f>
        <v/>
      </c>
      <c r="O107" s="4" t="inlineStr">
        <is>
          <t>Cash</t>
        </is>
      </c>
      <c r="P107" s="15">
        <f>IF($A107="","",DATE(YEAR($A107),MONTH($A107),1))</f>
        <v/>
      </c>
      <c r="Q107" s="16">
        <f>IF($H107="","",$J107*IFERROR(INDEX('Settings'!$L$10:$L$39,MATCH($H107,'Settings'!$I$10:$I$39,0)),0))</f>
        <v/>
      </c>
      <c r="R107" s="17">
        <f>IF($A107="","",$A107-WEEKDAY($A107,2)+1)</f>
        <v/>
      </c>
    </row>
    <row r="108">
      <c r="A108" s="5" t="n">
        <v>46212</v>
      </c>
      <c r="B108" s="4" t="inlineStr">
        <is>
          <t>North branch</t>
        </is>
      </c>
      <c r="C108" s="4" t="inlineStr">
        <is>
          <t>North 2</t>
        </is>
      </c>
      <c r="D108" s="4" t="inlineStr">
        <is>
          <t>Dr Khaled Youssef</t>
        </is>
      </c>
      <c r="E108" s="4" t="inlineStr">
        <is>
          <t>P-3193</t>
        </is>
      </c>
      <c r="F108" s="4" t="inlineStr">
        <is>
          <t>Returning</t>
        </is>
      </c>
      <c r="G108" s="4" t="inlineStr">
        <is>
          <t>Google</t>
        </is>
      </c>
      <c r="H108" s="4" t="inlineStr">
        <is>
          <t>Laser session, body</t>
        </is>
      </c>
      <c r="I108" s="9">
        <f>IF($H108="","",IFERROR(INDEX('Settings'!$J$10:$J$39,MATCH($H108,'Settings'!$I$10:$I$39,0)),""))</f>
        <v/>
      </c>
      <c r="J108" s="6" t="n">
        <v>1</v>
      </c>
      <c r="K108" s="8" t="n">
        <v>1200</v>
      </c>
      <c r="L108" s="8" t="n"/>
      <c r="M108" s="14">
        <f>IF($A108="","",$J108*$K108)</f>
        <v/>
      </c>
      <c r="N108" s="14">
        <f>IF($A108="","",$M108-$L108)</f>
        <v/>
      </c>
      <c r="O108" s="4" t="inlineStr">
        <is>
          <t>Insurance</t>
        </is>
      </c>
      <c r="P108" s="15">
        <f>IF($A108="","",DATE(YEAR($A108),MONTH($A108),1))</f>
        <v/>
      </c>
      <c r="Q108" s="16">
        <f>IF($H108="","",$J108*IFERROR(INDEX('Settings'!$L$10:$L$39,MATCH($H108,'Settings'!$I$10:$I$39,0)),0))</f>
        <v/>
      </c>
      <c r="R108" s="17">
        <f>IF($A108="","",$A108-WEEKDAY($A108,2)+1)</f>
        <v/>
      </c>
    </row>
    <row r="109">
      <c r="A109" s="5" t="n">
        <v>46212</v>
      </c>
      <c r="B109" s="4" t="inlineStr">
        <is>
          <t>North branch</t>
        </is>
      </c>
      <c r="C109" s="4" t="inlineStr">
        <is>
          <t>North 2</t>
        </is>
      </c>
      <c r="D109" s="4" t="inlineStr">
        <is>
          <t>Dr Layla Al Qahtani</t>
        </is>
      </c>
      <c r="E109" s="4" t="inlineStr">
        <is>
          <t>P-2840</t>
        </is>
      </c>
      <c r="F109" s="4" t="inlineStr">
        <is>
          <t>Returning</t>
        </is>
      </c>
      <c r="G109" s="4" t="inlineStr">
        <is>
          <t>Instagram</t>
        </is>
      </c>
      <c r="H109" s="4" t="inlineStr">
        <is>
          <t>Skin tag removal</t>
        </is>
      </c>
      <c r="I109" s="9">
        <f>IF($H109="","",IFERROR(INDEX('Settings'!$J$10:$J$39,MATCH($H109,'Settings'!$I$10:$I$39,0)),""))</f>
        <v/>
      </c>
      <c r="J109" s="6" t="n">
        <v>1</v>
      </c>
      <c r="K109" s="8" t="n">
        <v>500</v>
      </c>
      <c r="L109" s="8" t="n"/>
      <c r="M109" s="14">
        <f>IF($A109="","",$J109*$K109)</f>
        <v/>
      </c>
      <c r="N109" s="14">
        <f>IF($A109="","",$M109-$L109)</f>
        <v/>
      </c>
      <c r="O109" s="4" t="inlineStr">
        <is>
          <t>Card</t>
        </is>
      </c>
      <c r="P109" s="15">
        <f>IF($A109="","",DATE(YEAR($A109),MONTH($A109),1))</f>
        <v/>
      </c>
      <c r="Q109" s="16">
        <f>IF($H109="","",$J109*IFERROR(INDEX('Settings'!$L$10:$L$39,MATCH($H109,'Settings'!$I$10:$I$39,0)),0))</f>
        <v/>
      </c>
      <c r="R109" s="17">
        <f>IF($A109="","",$A109-WEEKDAY($A109,2)+1)</f>
        <v/>
      </c>
    </row>
    <row r="110">
      <c r="A110" s="5" t="n">
        <v>46212</v>
      </c>
      <c r="B110" s="4" t="inlineStr">
        <is>
          <t>North branch</t>
        </is>
      </c>
      <c r="C110" s="4" t="inlineStr">
        <is>
          <t>North 2</t>
        </is>
      </c>
      <c r="D110" s="4" t="inlineStr">
        <is>
          <t>Dr Layla Al Qahtani</t>
        </is>
      </c>
      <c r="E110" s="4" t="inlineStr">
        <is>
          <t>P-2288</t>
        </is>
      </c>
      <c r="F110" s="4" t="inlineStr">
        <is>
          <t>New</t>
        </is>
      </c>
      <c r="G110" s="4" t="inlineStr">
        <is>
          <t>Instagram</t>
        </is>
      </c>
      <c r="H110" s="4" t="inlineStr">
        <is>
          <t>Follow-up visit</t>
        </is>
      </c>
      <c r="I110" s="9">
        <f>IF($H110="","",IFERROR(INDEX('Settings'!$J$10:$J$39,MATCH($H110,'Settings'!$I$10:$I$39,0)),""))</f>
        <v/>
      </c>
      <c r="J110" s="6" t="n">
        <v>1</v>
      </c>
      <c r="K110" s="8" t="n">
        <v>150</v>
      </c>
      <c r="L110" s="8" t="n"/>
      <c r="M110" s="14">
        <f>IF($A110="","",$J110*$K110)</f>
        <v/>
      </c>
      <c r="N110" s="14">
        <f>IF($A110="","",$M110-$L110)</f>
        <v/>
      </c>
      <c r="O110" s="4" t="inlineStr">
        <is>
          <t>Transfer</t>
        </is>
      </c>
      <c r="P110" s="15">
        <f>IF($A110="","",DATE(YEAR($A110),MONTH($A110),1))</f>
        <v/>
      </c>
      <c r="Q110" s="16">
        <f>IF($H110="","",$J110*IFERROR(INDEX('Settings'!$L$10:$L$39,MATCH($H110,'Settings'!$I$10:$I$39,0)),0))</f>
        <v/>
      </c>
      <c r="R110" s="17">
        <f>IF($A110="","",$A110-WEEKDAY($A110,2)+1)</f>
        <v/>
      </c>
    </row>
    <row r="111">
      <c r="A111" s="5" t="n">
        <v>46214</v>
      </c>
      <c r="B111" s="4" t="inlineStr">
        <is>
          <t>Main branch</t>
        </is>
      </c>
      <c r="C111" s="4" t="inlineStr">
        <is>
          <t>Main 1</t>
        </is>
      </c>
      <c r="D111" s="4" t="inlineStr">
        <is>
          <t>Dr Ahmed Mansour</t>
        </is>
      </c>
      <c r="E111" s="4" t="inlineStr">
        <is>
          <t>P-3327</t>
        </is>
      </c>
      <c r="F111" s="4" t="inlineStr">
        <is>
          <t>New</t>
        </is>
      </c>
      <c r="G111" s="4" t="inlineStr">
        <is>
          <t>Google</t>
        </is>
      </c>
      <c r="H111" s="4" t="inlineStr">
        <is>
          <t>Facial cleansing</t>
        </is>
      </c>
      <c r="I111" s="9">
        <f>IF($H111="","",IFERROR(INDEX('Settings'!$J$10:$J$39,MATCH($H111,'Settings'!$I$10:$I$39,0)),""))</f>
        <v/>
      </c>
      <c r="J111" s="6" t="n">
        <v>1</v>
      </c>
      <c r="K111" s="8" t="n">
        <v>400</v>
      </c>
      <c r="L111" s="8" t="n"/>
      <c r="M111" s="14">
        <f>IF($A111="","",$J111*$K111)</f>
        <v/>
      </c>
      <c r="N111" s="14">
        <f>IF($A111="","",$M111-$L111)</f>
        <v/>
      </c>
      <c r="O111" s="4" t="inlineStr">
        <is>
          <t>Card</t>
        </is>
      </c>
      <c r="P111" s="15">
        <f>IF($A111="","",DATE(YEAR($A111),MONTH($A111),1))</f>
        <v/>
      </c>
      <c r="Q111" s="16">
        <f>IF($H111="","",$J111*IFERROR(INDEX('Settings'!$L$10:$L$39,MATCH($H111,'Settings'!$I$10:$I$39,0)),0))</f>
        <v/>
      </c>
      <c r="R111" s="17">
        <f>IF($A111="","",$A111-WEEKDAY($A111,2)+1)</f>
        <v/>
      </c>
    </row>
    <row r="112">
      <c r="A112" s="5" t="n">
        <v>46214</v>
      </c>
      <c r="B112" s="4" t="inlineStr">
        <is>
          <t>Main branch</t>
        </is>
      </c>
      <c r="C112" s="4" t="inlineStr">
        <is>
          <t>Main 3</t>
        </is>
      </c>
      <c r="D112" s="4" t="inlineStr">
        <is>
          <t>Dr Sara Al Harbi</t>
        </is>
      </c>
      <c r="E112" s="4" t="inlineStr">
        <is>
          <t>P-2543</t>
        </is>
      </c>
      <c r="F112" s="4" t="inlineStr">
        <is>
          <t>Returning</t>
        </is>
      </c>
      <c r="G112" s="4" t="inlineStr">
        <is>
          <t>Referral</t>
        </is>
      </c>
      <c r="H112" s="4" t="inlineStr">
        <is>
          <t>Follow-up visit</t>
        </is>
      </c>
      <c r="I112" s="9">
        <f>IF($H112="","",IFERROR(INDEX('Settings'!$J$10:$J$39,MATCH($H112,'Settings'!$I$10:$I$39,0)),""))</f>
        <v/>
      </c>
      <c r="J112" s="6" t="n">
        <v>1</v>
      </c>
      <c r="K112" s="8" t="n">
        <v>150</v>
      </c>
      <c r="L112" s="8" t="n"/>
      <c r="M112" s="14">
        <f>IF($A112="","",$J112*$K112)</f>
        <v/>
      </c>
      <c r="N112" s="14">
        <f>IF($A112="","",$M112-$L112)</f>
        <v/>
      </c>
      <c r="O112" s="4" t="inlineStr">
        <is>
          <t>Insurance</t>
        </is>
      </c>
      <c r="P112" s="15">
        <f>IF($A112="","",DATE(YEAR($A112),MONTH($A112),1))</f>
        <v/>
      </c>
      <c r="Q112" s="16">
        <f>IF($H112="","",$J112*IFERROR(INDEX('Settings'!$L$10:$L$39,MATCH($H112,'Settings'!$I$10:$I$39,0)),0))</f>
        <v/>
      </c>
      <c r="R112" s="17">
        <f>IF($A112="","",$A112-WEEKDAY($A112,2)+1)</f>
        <v/>
      </c>
    </row>
    <row r="113">
      <c r="A113" s="5" t="n">
        <v>46214</v>
      </c>
      <c r="B113" s="4" t="inlineStr">
        <is>
          <t>Main branch</t>
        </is>
      </c>
      <c r="C113" s="4" t="inlineStr">
        <is>
          <t>Main 3</t>
        </is>
      </c>
      <c r="D113" s="4" t="inlineStr">
        <is>
          <t>Dr Sara Al Harbi</t>
        </is>
      </c>
      <c r="E113" s="4" t="inlineStr">
        <is>
          <t>P-2348</t>
        </is>
      </c>
      <c r="F113" s="4" t="inlineStr">
        <is>
          <t>New</t>
        </is>
      </c>
      <c r="G113" s="4" t="inlineStr">
        <is>
          <t>Google</t>
        </is>
      </c>
      <c r="H113" s="4" t="inlineStr">
        <is>
          <t>Botulinum toxin</t>
        </is>
      </c>
      <c r="I113" s="9">
        <f>IF($H113="","",IFERROR(INDEX('Settings'!$J$10:$J$39,MATCH($H113,'Settings'!$I$10:$I$39,0)),""))</f>
        <v/>
      </c>
      <c r="J113" s="6" t="n">
        <v>1</v>
      </c>
      <c r="K113" s="8" t="n">
        <v>1500</v>
      </c>
      <c r="L113" s="8" t="n"/>
      <c r="M113" s="14">
        <f>IF($A113="","",$J113*$K113)</f>
        <v/>
      </c>
      <c r="N113" s="14">
        <f>IF($A113="","",$M113-$L113)</f>
        <v/>
      </c>
      <c r="O113" s="4" t="inlineStr">
        <is>
          <t>Card</t>
        </is>
      </c>
      <c r="P113" s="15">
        <f>IF($A113="","",DATE(YEAR($A113),MONTH($A113),1))</f>
        <v/>
      </c>
      <c r="Q113" s="16">
        <f>IF($H113="","",$J113*IFERROR(INDEX('Settings'!$L$10:$L$39,MATCH($H113,'Settings'!$I$10:$I$39,0)),0))</f>
        <v/>
      </c>
      <c r="R113" s="17">
        <f>IF($A113="","",$A113-WEEKDAY($A113,2)+1)</f>
        <v/>
      </c>
    </row>
    <row r="114">
      <c r="A114" s="5" t="n">
        <v>46214</v>
      </c>
      <c r="B114" s="4" t="inlineStr">
        <is>
          <t>Main branch</t>
        </is>
      </c>
      <c r="C114" s="4" t="inlineStr">
        <is>
          <t>Main 3</t>
        </is>
      </c>
      <c r="D114" s="4" t="inlineStr">
        <is>
          <t>Dr Noura Al Subaie</t>
        </is>
      </c>
      <c r="E114" s="4" t="inlineStr">
        <is>
          <t>P-2236</t>
        </is>
      </c>
      <c r="F114" s="4" t="inlineStr">
        <is>
          <t>Returning</t>
        </is>
      </c>
      <c r="G114" s="4" t="inlineStr">
        <is>
          <t>Google</t>
        </is>
      </c>
      <c r="H114" s="4" t="inlineStr">
        <is>
          <t>Follow-up visit</t>
        </is>
      </c>
      <c r="I114" s="9">
        <f>IF($H114="","",IFERROR(INDEX('Settings'!$J$10:$J$39,MATCH($H114,'Settings'!$I$10:$I$39,0)),""))</f>
        <v/>
      </c>
      <c r="J114" s="6" t="n">
        <v>1</v>
      </c>
      <c r="K114" s="8" t="n">
        <v>150</v>
      </c>
      <c r="L114" s="8" t="n"/>
      <c r="M114" s="14">
        <f>IF($A114="","",$J114*$K114)</f>
        <v/>
      </c>
      <c r="N114" s="14">
        <f>IF($A114="","",$M114-$L114)</f>
        <v/>
      </c>
      <c r="O114" s="4" t="inlineStr">
        <is>
          <t>Payment link</t>
        </is>
      </c>
      <c r="P114" s="15">
        <f>IF($A114="","",DATE(YEAR($A114),MONTH($A114),1))</f>
        <v/>
      </c>
      <c r="Q114" s="16">
        <f>IF($H114="","",$J114*IFERROR(INDEX('Settings'!$L$10:$L$39,MATCH($H114,'Settings'!$I$10:$I$39,0)),0))</f>
        <v/>
      </c>
      <c r="R114" s="17">
        <f>IF($A114="","",$A114-WEEKDAY($A114,2)+1)</f>
        <v/>
      </c>
    </row>
    <row r="115">
      <c r="A115" s="5" t="n">
        <v>46214</v>
      </c>
      <c r="B115" s="4" t="inlineStr">
        <is>
          <t>Main branch</t>
        </is>
      </c>
      <c r="C115" s="4" t="inlineStr">
        <is>
          <t>Main 3</t>
        </is>
      </c>
      <c r="D115" s="4" t="inlineStr">
        <is>
          <t>Dr Sara Al Harbi</t>
        </is>
      </c>
      <c r="E115" s="4" t="inlineStr">
        <is>
          <t>P-2625</t>
        </is>
      </c>
      <c r="F115" s="4" t="inlineStr">
        <is>
          <t>Returning</t>
        </is>
      </c>
      <c r="G115" s="4" t="inlineStr">
        <is>
          <t>Google</t>
        </is>
      </c>
      <c r="H115" s="4" t="inlineStr">
        <is>
          <t>Follow-up visit</t>
        </is>
      </c>
      <c r="I115" s="9">
        <f>IF($H115="","",IFERROR(INDEX('Settings'!$J$10:$J$39,MATCH($H115,'Settings'!$I$10:$I$39,0)),""))</f>
        <v/>
      </c>
      <c r="J115" s="6" t="n">
        <v>1</v>
      </c>
      <c r="K115" s="8" t="n">
        <v>150</v>
      </c>
      <c r="L115" s="8" t="n"/>
      <c r="M115" s="14">
        <f>IF($A115="","",$J115*$K115)</f>
        <v/>
      </c>
      <c r="N115" s="14">
        <f>IF($A115="","",$M115-$L115)</f>
        <v/>
      </c>
      <c r="O115" s="4" t="inlineStr">
        <is>
          <t>Transfer</t>
        </is>
      </c>
      <c r="P115" s="15">
        <f>IF($A115="","",DATE(YEAR($A115),MONTH($A115),1))</f>
        <v/>
      </c>
      <c r="Q115" s="16">
        <f>IF($H115="","",$J115*IFERROR(INDEX('Settings'!$L$10:$L$39,MATCH($H115,'Settings'!$I$10:$I$39,0)),0))</f>
        <v/>
      </c>
      <c r="R115" s="17">
        <f>IF($A115="","",$A115-WEEKDAY($A115,2)+1)</f>
        <v/>
      </c>
    </row>
    <row r="116">
      <c r="A116" s="5" t="n">
        <v>46214</v>
      </c>
      <c r="B116" s="4" t="inlineStr">
        <is>
          <t>Main branch</t>
        </is>
      </c>
      <c r="C116" s="4" t="inlineStr">
        <is>
          <t>Main 4</t>
        </is>
      </c>
      <c r="D116" s="4" t="inlineStr">
        <is>
          <t>Dr Noura Al Subaie</t>
        </is>
      </c>
      <c r="E116" s="4" t="inlineStr">
        <is>
          <t>P-2708</t>
        </is>
      </c>
      <c r="F116" s="4" t="inlineStr">
        <is>
          <t>New</t>
        </is>
      </c>
      <c r="G116" s="4" t="inlineStr">
        <is>
          <t>Walk-in</t>
        </is>
      </c>
      <c r="H116" s="4" t="inlineStr">
        <is>
          <t>Physiotherapy session</t>
        </is>
      </c>
      <c r="I116" s="9">
        <f>IF($H116="","",IFERROR(INDEX('Settings'!$J$10:$J$39,MATCH($H116,'Settings'!$I$10:$I$39,0)),""))</f>
        <v/>
      </c>
      <c r="J116" s="6" t="n">
        <v>1</v>
      </c>
      <c r="K116" s="8" t="n">
        <v>300</v>
      </c>
      <c r="L116" s="8" t="n"/>
      <c r="M116" s="14">
        <f>IF($A116="","",$J116*$K116)</f>
        <v/>
      </c>
      <c r="N116" s="14">
        <f>IF($A116="","",$M116-$L116)</f>
        <v/>
      </c>
      <c r="O116" s="4" t="inlineStr">
        <is>
          <t>Card</t>
        </is>
      </c>
      <c r="P116" s="15">
        <f>IF($A116="","",DATE(YEAR($A116),MONTH($A116),1))</f>
        <v/>
      </c>
      <c r="Q116" s="16">
        <f>IF($H116="","",$J116*IFERROR(INDEX('Settings'!$L$10:$L$39,MATCH($H116,'Settings'!$I$10:$I$39,0)),0))</f>
        <v/>
      </c>
      <c r="R116" s="17">
        <f>IF($A116="","",$A116-WEEKDAY($A116,2)+1)</f>
        <v/>
      </c>
    </row>
    <row r="117">
      <c r="A117" s="5" t="n">
        <v>46214</v>
      </c>
      <c r="B117" s="4" t="inlineStr">
        <is>
          <t>North branch</t>
        </is>
      </c>
      <c r="C117" s="4" t="inlineStr">
        <is>
          <t>North 1</t>
        </is>
      </c>
      <c r="D117" s="4" t="inlineStr">
        <is>
          <t>Dr Khaled Youssef</t>
        </is>
      </c>
      <c r="E117" s="4" t="inlineStr">
        <is>
          <t>P-3107</t>
        </is>
      </c>
      <c r="F117" s="4" t="inlineStr">
        <is>
          <t>Returning</t>
        </is>
      </c>
      <c r="G117" s="4" t="inlineStr">
        <is>
          <t>Referral</t>
        </is>
      </c>
      <c r="H117" s="4" t="inlineStr">
        <is>
          <t>Laser session, face</t>
        </is>
      </c>
      <c r="I117" s="9">
        <f>IF($H117="","",IFERROR(INDEX('Settings'!$J$10:$J$39,MATCH($H117,'Settings'!$I$10:$I$39,0)),""))</f>
        <v/>
      </c>
      <c r="J117" s="6" t="n">
        <v>1</v>
      </c>
      <c r="K117" s="8" t="n">
        <v>600</v>
      </c>
      <c r="L117" s="8" t="n"/>
      <c r="M117" s="14">
        <f>IF($A117="","",$J117*$K117)</f>
        <v/>
      </c>
      <c r="N117" s="14">
        <f>IF($A117="","",$M117-$L117)</f>
        <v/>
      </c>
      <c r="O117" s="4" t="inlineStr">
        <is>
          <t>Cash</t>
        </is>
      </c>
      <c r="P117" s="15">
        <f>IF($A117="","",DATE(YEAR($A117),MONTH($A117),1))</f>
        <v/>
      </c>
      <c r="Q117" s="16">
        <f>IF($H117="","",$J117*IFERROR(INDEX('Settings'!$L$10:$L$39,MATCH($H117,'Settings'!$I$10:$I$39,0)),0))</f>
        <v/>
      </c>
      <c r="R117" s="17">
        <f>IF($A117="","",$A117-WEEKDAY($A117,2)+1)</f>
        <v/>
      </c>
    </row>
    <row r="118">
      <c r="A118" s="5" t="n">
        <v>46214</v>
      </c>
      <c r="B118" s="4" t="inlineStr">
        <is>
          <t>North branch</t>
        </is>
      </c>
      <c r="C118" s="4" t="inlineStr">
        <is>
          <t>North 2</t>
        </is>
      </c>
      <c r="D118" s="4" t="inlineStr">
        <is>
          <t>Dr Khaled Youssef</t>
        </is>
      </c>
      <c r="E118" s="4" t="inlineStr">
        <is>
          <t>P-3293</t>
        </is>
      </c>
      <c r="F118" s="4" t="inlineStr">
        <is>
          <t>Returning</t>
        </is>
      </c>
      <c r="G118" s="4" t="inlineStr">
        <is>
          <t>Instagram</t>
        </is>
      </c>
      <c r="H118" s="4" t="inlineStr">
        <is>
          <t>Vitamin C serum</t>
        </is>
      </c>
      <c r="I118" s="9">
        <f>IF($H118="","",IFERROR(INDEX('Settings'!$J$10:$J$39,MATCH($H118,'Settings'!$I$10:$I$39,0)),""))</f>
        <v/>
      </c>
      <c r="J118" s="6" t="n">
        <v>1</v>
      </c>
      <c r="K118" s="8" t="n">
        <v>220</v>
      </c>
      <c r="L118" s="8" t="n"/>
      <c r="M118" s="14">
        <f>IF($A118="","",$J118*$K118)</f>
        <v/>
      </c>
      <c r="N118" s="14">
        <f>IF($A118="","",$M118-$L118)</f>
        <v/>
      </c>
      <c r="O118" s="4" t="inlineStr">
        <is>
          <t>Card</t>
        </is>
      </c>
      <c r="P118" s="15">
        <f>IF($A118="","",DATE(YEAR($A118),MONTH($A118),1))</f>
        <v/>
      </c>
      <c r="Q118" s="16">
        <f>IF($H118="","",$J118*IFERROR(INDEX('Settings'!$L$10:$L$39,MATCH($H118,'Settings'!$I$10:$I$39,0)),0))</f>
        <v/>
      </c>
      <c r="R118" s="17">
        <f>IF($A118="","",$A118-WEEKDAY($A118,2)+1)</f>
        <v/>
      </c>
    </row>
    <row r="119">
      <c r="A119" s="5" t="n">
        <v>46214</v>
      </c>
      <c r="B119" s="4" t="inlineStr">
        <is>
          <t>North branch</t>
        </is>
      </c>
      <c r="C119" s="4" t="inlineStr">
        <is>
          <t>North 2</t>
        </is>
      </c>
      <c r="D119" s="4" t="inlineStr">
        <is>
          <t>Dr Layla Al Qahtani</t>
        </is>
      </c>
      <c r="E119" s="4" t="inlineStr">
        <is>
          <t>P-2425</t>
        </is>
      </c>
      <c r="F119" s="4" t="inlineStr">
        <is>
          <t>New</t>
        </is>
      </c>
      <c r="G119" s="4" t="inlineStr">
        <is>
          <t>Google</t>
        </is>
      </c>
      <c r="H119" s="4" t="inlineStr">
        <is>
          <t>Physiotherapy session</t>
        </is>
      </c>
      <c r="I119" s="9">
        <f>IF($H119="","",IFERROR(INDEX('Settings'!$J$10:$J$39,MATCH($H119,'Settings'!$I$10:$I$39,0)),""))</f>
        <v/>
      </c>
      <c r="J119" s="6" t="n">
        <v>1</v>
      </c>
      <c r="K119" s="8" t="n">
        <v>300</v>
      </c>
      <c r="L119" s="8" t="n"/>
      <c r="M119" s="14">
        <f>IF($A119="","",$J119*$K119)</f>
        <v/>
      </c>
      <c r="N119" s="14">
        <f>IF($A119="","",$M119-$L119)</f>
        <v/>
      </c>
      <c r="O119" s="4" t="inlineStr">
        <is>
          <t>Card</t>
        </is>
      </c>
      <c r="P119" s="15">
        <f>IF($A119="","",DATE(YEAR($A119),MONTH($A119),1))</f>
        <v/>
      </c>
      <c r="Q119" s="16">
        <f>IF($H119="","",$J119*IFERROR(INDEX('Settings'!$L$10:$L$39,MATCH($H119,'Settings'!$I$10:$I$39,0)),0))</f>
        <v/>
      </c>
      <c r="R119" s="17">
        <f>IF($A119="","",$A119-WEEKDAY($A119,2)+1)</f>
        <v/>
      </c>
    </row>
    <row r="120">
      <c r="A120" s="5" t="n">
        <v>46214</v>
      </c>
      <c r="B120" s="4" t="inlineStr">
        <is>
          <t>North branch</t>
        </is>
      </c>
      <c r="C120" s="4" t="inlineStr">
        <is>
          <t>North 2</t>
        </is>
      </c>
      <c r="D120" s="4" t="inlineStr">
        <is>
          <t>Dr Mohamed Adel</t>
        </is>
      </c>
      <c r="E120" s="4" t="inlineStr">
        <is>
          <t>P-2534</t>
        </is>
      </c>
      <c r="F120" s="4" t="inlineStr">
        <is>
          <t>Returning</t>
        </is>
      </c>
      <c r="G120" s="4" t="inlineStr">
        <is>
          <t>Walk-in</t>
        </is>
      </c>
      <c r="H120" s="4" t="inlineStr">
        <is>
          <t>Sunscreen cream</t>
        </is>
      </c>
      <c r="I120" s="9">
        <f>IF($H120="","",IFERROR(INDEX('Settings'!$J$10:$J$39,MATCH($H120,'Settings'!$I$10:$I$39,0)),""))</f>
        <v/>
      </c>
      <c r="J120" s="6" t="n">
        <v>1</v>
      </c>
      <c r="K120" s="8" t="n">
        <v>120</v>
      </c>
      <c r="L120" s="8" t="n"/>
      <c r="M120" s="14">
        <f>IF($A120="","",$J120*$K120)</f>
        <v/>
      </c>
      <c r="N120" s="14">
        <f>IF($A120="","",$M120-$L120)</f>
        <v/>
      </c>
      <c r="O120" s="4" t="inlineStr">
        <is>
          <t>Card</t>
        </is>
      </c>
      <c r="P120" s="15">
        <f>IF($A120="","",DATE(YEAR($A120),MONTH($A120),1))</f>
        <v/>
      </c>
      <c r="Q120" s="16">
        <f>IF($H120="","",$J120*IFERROR(INDEX('Settings'!$L$10:$L$39,MATCH($H120,'Settings'!$I$10:$I$39,0)),0))</f>
        <v/>
      </c>
      <c r="R120" s="17">
        <f>IF($A120="","",$A120-WEEKDAY($A120,2)+1)</f>
        <v/>
      </c>
    </row>
    <row r="121">
      <c r="A121" s="5" t="n">
        <v>46215</v>
      </c>
      <c r="B121" s="4" t="inlineStr">
        <is>
          <t>Main branch</t>
        </is>
      </c>
      <c r="C121" s="4" t="inlineStr">
        <is>
          <t>Main 1</t>
        </is>
      </c>
      <c r="D121" s="4" t="inlineStr">
        <is>
          <t>Dr Sara Al Harbi</t>
        </is>
      </c>
      <c r="E121" s="4" t="inlineStr">
        <is>
          <t>P-2243</t>
        </is>
      </c>
      <c r="F121" s="4" t="inlineStr">
        <is>
          <t>New</t>
        </is>
      </c>
      <c r="G121" s="4" t="inlineStr">
        <is>
          <t>Google</t>
        </is>
      </c>
      <c r="H121" s="4" t="inlineStr">
        <is>
          <t>Sunscreen cream</t>
        </is>
      </c>
      <c r="I121" s="9">
        <f>IF($H121="","",IFERROR(INDEX('Settings'!$J$10:$J$39,MATCH($H121,'Settings'!$I$10:$I$39,0)),""))</f>
        <v/>
      </c>
      <c r="J121" s="6" t="n">
        <v>1</v>
      </c>
      <c r="K121" s="8" t="n">
        <v>120</v>
      </c>
      <c r="L121" s="8" t="n"/>
      <c r="M121" s="14">
        <f>IF($A121="","",$J121*$K121)</f>
        <v/>
      </c>
      <c r="N121" s="14">
        <f>IF($A121="","",$M121-$L121)</f>
        <v/>
      </c>
      <c r="O121" s="4" t="inlineStr">
        <is>
          <t>Card</t>
        </is>
      </c>
      <c r="P121" s="15">
        <f>IF($A121="","",DATE(YEAR($A121),MONTH($A121),1))</f>
        <v/>
      </c>
      <c r="Q121" s="16">
        <f>IF($H121="","",$J121*IFERROR(INDEX('Settings'!$L$10:$L$39,MATCH($H121,'Settings'!$I$10:$I$39,0)),0))</f>
        <v/>
      </c>
      <c r="R121" s="17">
        <f>IF($A121="","",$A121-WEEKDAY($A121,2)+1)</f>
        <v/>
      </c>
    </row>
    <row r="122">
      <c r="A122" s="5" t="n">
        <v>46215</v>
      </c>
      <c r="B122" s="4" t="inlineStr">
        <is>
          <t>Main branch</t>
        </is>
      </c>
      <c r="C122" s="4" t="inlineStr">
        <is>
          <t>Main 1</t>
        </is>
      </c>
      <c r="D122" s="4" t="inlineStr">
        <is>
          <t>Dr Noura Al Subaie</t>
        </is>
      </c>
      <c r="E122" s="4" t="inlineStr">
        <is>
          <t>P-2945</t>
        </is>
      </c>
      <c r="F122" s="4" t="inlineStr">
        <is>
          <t>Returning</t>
        </is>
      </c>
      <c r="G122" s="4" t="inlineStr">
        <is>
          <t>Referral</t>
        </is>
      </c>
      <c r="H122" s="4" t="inlineStr">
        <is>
          <t>Laser session, body</t>
        </is>
      </c>
      <c r="I122" s="9">
        <f>IF($H122="","",IFERROR(INDEX('Settings'!$J$10:$J$39,MATCH($H122,'Settings'!$I$10:$I$39,0)),""))</f>
        <v/>
      </c>
      <c r="J122" s="6" t="n">
        <v>1</v>
      </c>
      <c r="K122" s="8" t="n">
        <v>1200</v>
      </c>
      <c r="L122" s="8" t="n"/>
      <c r="M122" s="14">
        <f>IF($A122="","",$J122*$K122)</f>
        <v/>
      </c>
      <c r="N122" s="14">
        <f>IF($A122="","",$M122-$L122)</f>
        <v/>
      </c>
      <c r="O122" s="4" t="inlineStr">
        <is>
          <t>Card</t>
        </is>
      </c>
      <c r="P122" s="15">
        <f>IF($A122="","",DATE(YEAR($A122),MONTH($A122),1))</f>
        <v/>
      </c>
      <c r="Q122" s="16">
        <f>IF($H122="","",$J122*IFERROR(INDEX('Settings'!$L$10:$L$39,MATCH($H122,'Settings'!$I$10:$I$39,0)),0))</f>
        <v/>
      </c>
      <c r="R122" s="17">
        <f>IF($A122="","",$A122-WEEKDAY($A122,2)+1)</f>
        <v/>
      </c>
    </row>
    <row r="123">
      <c r="A123" s="5" t="n">
        <v>46215</v>
      </c>
      <c r="B123" s="4" t="inlineStr">
        <is>
          <t>Main branch</t>
        </is>
      </c>
      <c r="C123" s="4" t="inlineStr">
        <is>
          <t>Main 2</t>
        </is>
      </c>
      <c r="D123" s="4" t="inlineStr">
        <is>
          <t>Dr Ahmed Mansour</t>
        </is>
      </c>
      <c r="E123" s="4" t="inlineStr">
        <is>
          <t>P-2697</t>
        </is>
      </c>
      <c r="F123" s="4" t="inlineStr">
        <is>
          <t>Returning</t>
        </is>
      </c>
      <c r="G123" s="4" t="inlineStr">
        <is>
          <t>Instagram</t>
        </is>
      </c>
      <c r="H123" s="4" t="inlineStr">
        <is>
          <t>Sunscreen cream</t>
        </is>
      </c>
      <c r="I123" s="9">
        <f>IF($H123="","",IFERROR(INDEX('Settings'!$J$10:$J$39,MATCH($H123,'Settings'!$I$10:$I$39,0)),""))</f>
        <v/>
      </c>
      <c r="J123" s="6" t="n">
        <v>2</v>
      </c>
      <c r="K123" s="8" t="n">
        <v>120</v>
      </c>
      <c r="L123" s="8" t="n"/>
      <c r="M123" s="14">
        <f>IF($A123="","",$J123*$K123)</f>
        <v/>
      </c>
      <c r="N123" s="14">
        <f>IF($A123="","",$M123-$L123)</f>
        <v/>
      </c>
      <c r="O123" s="4" t="inlineStr">
        <is>
          <t>Card</t>
        </is>
      </c>
      <c r="P123" s="15">
        <f>IF($A123="","",DATE(YEAR($A123),MONTH($A123),1))</f>
        <v/>
      </c>
      <c r="Q123" s="16">
        <f>IF($H123="","",$J123*IFERROR(INDEX('Settings'!$L$10:$L$39,MATCH($H123,'Settings'!$I$10:$I$39,0)),0))</f>
        <v/>
      </c>
      <c r="R123" s="17">
        <f>IF($A123="","",$A123-WEEKDAY($A123,2)+1)</f>
        <v/>
      </c>
    </row>
    <row r="124">
      <c r="A124" s="5" t="n">
        <v>46215</v>
      </c>
      <c r="B124" s="4" t="inlineStr">
        <is>
          <t>Main branch</t>
        </is>
      </c>
      <c r="C124" s="4" t="inlineStr">
        <is>
          <t>Main 2</t>
        </is>
      </c>
      <c r="D124" s="4" t="inlineStr">
        <is>
          <t>Dr Noura Al Subaie</t>
        </is>
      </c>
      <c r="E124" s="4" t="inlineStr">
        <is>
          <t>P-3134</t>
        </is>
      </c>
      <c r="F124" s="4" t="inlineStr">
        <is>
          <t>New</t>
        </is>
      </c>
      <c r="G124" s="4" t="inlineStr">
        <is>
          <t>Referral</t>
        </is>
      </c>
      <c r="H124" s="4" t="inlineStr">
        <is>
          <t>Specialist consultation</t>
        </is>
      </c>
      <c r="I124" s="9">
        <f>IF($H124="","",IFERROR(INDEX('Settings'!$J$10:$J$39,MATCH($H124,'Settings'!$I$10:$I$39,0)),""))</f>
        <v/>
      </c>
      <c r="J124" s="6" t="n">
        <v>1</v>
      </c>
      <c r="K124" s="8" t="n">
        <v>350</v>
      </c>
      <c r="L124" s="8" t="n"/>
      <c r="M124" s="14">
        <f>IF($A124="","",$J124*$K124)</f>
        <v/>
      </c>
      <c r="N124" s="14">
        <f>IF($A124="","",$M124-$L124)</f>
        <v/>
      </c>
      <c r="O124" s="4" t="inlineStr">
        <is>
          <t>Transfer</t>
        </is>
      </c>
      <c r="P124" s="15">
        <f>IF($A124="","",DATE(YEAR($A124),MONTH($A124),1))</f>
        <v/>
      </c>
      <c r="Q124" s="16">
        <f>IF($H124="","",$J124*IFERROR(INDEX('Settings'!$L$10:$L$39,MATCH($H124,'Settings'!$I$10:$I$39,0)),0))</f>
        <v/>
      </c>
      <c r="R124" s="17">
        <f>IF($A124="","",$A124-WEEKDAY($A124,2)+1)</f>
        <v/>
      </c>
    </row>
    <row r="125">
      <c r="A125" s="5" t="n">
        <v>46215</v>
      </c>
      <c r="B125" s="4" t="inlineStr">
        <is>
          <t>Main branch</t>
        </is>
      </c>
      <c r="C125" s="4" t="inlineStr">
        <is>
          <t>Main 3</t>
        </is>
      </c>
      <c r="D125" s="4" t="inlineStr">
        <is>
          <t>Dr Ahmed Mansour</t>
        </is>
      </c>
      <c r="E125" s="4" t="inlineStr">
        <is>
          <t>P-2257</t>
        </is>
      </c>
      <c r="F125" s="4" t="inlineStr">
        <is>
          <t>New</t>
        </is>
      </c>
      <c r="G125" s="4" t="inlineStr">
        <is>
          <t>WhatsApp</t>
        </is>
      </c>
      <c r="H125" s="4" t="inlineStr">
        <is>
          <t>Vitamin C serum</t>
        </is>
      </c>
      <c r="I125" s="9">
        <f>IF($H125="","",IFERROR(INDEX('Settings'!$J$10:$J$39,MATCH($H125,'Settings'!$I$10:$I$39,0)),""))</f>
        <v/>
      </c>
      <c r="J125" s="6" t="n">
        <v>2</v>
      </c>
      <c r="K125" s="8" t="n">
        <v>220</v>
      </c>
      <c r="L125" s="8" t="n"/>
      <c r="M125" s="14">
        <f>IF($A125="","",$J125*$K125)</f>
        <v/>
      </c>
      <c r="N125" s="14">
        <f>IF($A125="","",$M125-$L125)</f>
        <v/>
      </c>
      <c r="O125" s="4" t="inlineStr">
        <is>
          <t>Card</t>
        </is>
      </c>
      <c r="P125" s="15">
        <f>IF($A125="","",DATE(YEAR($A125),MONTH($A125),1))</f>
        <v/>
      </c>
      <c r="Q125" s="16">
        <f>IF($H125="","",$J125*IFERROR(INDEX('Settings'!$L$10:$L$39,MATCH($H125,'Settings'!$I$10:$I$39,0)),0))</f>
        <v/>
      </c>
      <c r="R125" s="17">
        <f>IF($A125="","",$A125-WEEKDAY($A125,2)+1)</f>
        <v/>
      </c>
    </row>
    <row r="126">
      <c r="A126" s="5" t="n">
        <v>46215</v>
      </c>
      <c r="B126" s="4" t="inlineStr">
        <is>
          <t>North branch</t>
        </is>
      </c>
      <c r="C126" s="4" t="inlineStr">
        <is>
          <t>North 1</t>
        </is>
      </c>
      <c r="D126" s="4" t="inlineStr">
        <is>
          <t>Dr Mohamed Adel</t>
        </is>
      </c>
      <c r="E126" s="4" t="inlineStr">
        <is>
          <t>P-2242</t>
        </is>
      </c>
      <c r="F126" s="4" t="inlineStr">
        <is>
          <t>New</t>
        </is>
      </c>
      <c r="G126" s="4" t="inlineStr">
        <is>
          <t>Referral</t>
        </is>
      </c>
      <c r="H126" s="4" t="inlineStr">
        <is>
          <t>Physiotherapy session</t>
        </is>
      </c>
      <c r="I126" s="9">
        <f>IF($H126="","",IFERROR(INDEX('Settings'!$J$10:$J$39,MATCH($H126,'Settings'!$I$10:$I$39,0)),""))</f>
        <v/>
      </c>
      <c r="J126" s="6" t="n">
        <v>1</v>
      </c>
      <c r="K126" s="8" t="n">
        <v>300</v>
      </c>
      <c r="L126" s="8" t="n">
        <v>20</v>
      </c>
      <c r="M126" s="14">
        <f>IF($A126="","",$J126*$K126)</f>
        <v/>
      </c>
      <c r="N126" s="14">
        <f>IF($A126="","",$M126-$L126)</f>
        <v/>
      </c>
      <c r="O126" s="4" t="inlineStr">
        <is>
          <t>Card</t>
        </is>
      </c>
      <c r="P126" s="15">
        <f>IF($A126="","",DATE(YEAR($A126),MONTH($A126),1))</f>
        <v/>
      </c>
      <c r="Q126" s="16">
        <f>IF($H126="","",$J126*IFERROR(INDEX('Settings'!$L$10:$L$39,MATCH($H126,'Settings'!$I$10:$I$39,0)),0))</f>
        <v/>
      </c>
      <c r="R126" s="17">
        <f>IF($A126="","",$A126-WEEKDAY($A126,2)+1)</f>
        <v/>
      </c>
    </row>
    <row r="127">
      <c r="A127" s="5" t="n">
        <v>46215</v>
      </c>
      <c r="B127" s="4" t="inlineStr">
        <is>
          <t>North branch</t>
        </is>
      </c>
      <c r="C127" s="4" t="inlineStr">
        <is>
          <t>North 1</t>
        </is>
      </c>
      <c r="D127" s="4" t="inlineStr">
        <is>
          <t>Dr Mohamed Adel</t>
        </is>
      </c>
      <c r="E127" s="4" t="inlineStr">
        <is>
          <t>P-3430</t>
        </is>
      </c>
      <c r="F127" s="4" t="inlineStr">
        <is>
          <t>Returning</t>
        </is>
      </c>
      <c r="G127" s="4" t="inlineStr">
        <is>
          <t>Instagram</t>
        </is>
      </c>
      <c r="H127" s="4" t="inlineStr">
        <is>
          <t>Follow-up visit</t>
        </is>
      </c>
      <c r="I127" s="9">
        <f>IF($H127="","",IFERROR(INDEX('Settings'!$J$10:$J$39,MATCH($H127,'Settings'!$I$10:$I$39,0)),""))</f>
        <v/>
      </c>
      <c r="J127" s="6" t="n">
        <v>1</v>
      </c>
      <c r="K127" s="8" t="n">
        <v>150</v>
      </c>
      <c r="L127" s="8" t="n"/>
      <c r="M127" s="14">
        <f>IF($A127="","",$J127*$K127)</f>
        <v/>
      </c>
      <c r="N127" s="14">
        <f>IF($A127="","",$M127-$L127)</f>
        <v/>
      </c>
      <c r="O127" s="4" t="inlineStr">
        <is>
          <t>Card</t>
        </is>
      </c>
      <c r="P127" s="15">
        <f>IF($A127="","",DATE(YEAR($A127),MONTH($A127),1))</f>
        <v/>
      </c>
      <c r="Q127" s="16">
        <f>IF($H127="","",$J127*IFERROR(INDEX('Settings'!$L$10:$L$39,MATCH($H127,'Settings'!$I$10:$I$39,0)),0))</f>
        <v/>
      </c>
      <c r="R127" s="17">
        <f>IF($A127="","",$A127-WEEKDAY($A127,2)+1)</f>
        <v/>
      </c>
    </row>
    <row r="128">
      <c r="A128" s="5" t="n">
        <v>46215</v>
      </c>
      <c r="B128" s="4" t="inlineStr">
        <is>
          <t>North branch</t>
        </is>
      </c>
      <c r="C128" s="4" t="inlineStr">
        <is>
          <t>North 2</t>
        </is>
      </c>
      <c r="D128" s="4" t="inlineStr">
        <is>
          <t>Dr Layla Al Qahtani</t>
        </is>
      </c>
      <c r="E128" s="4" t="inlineStr">
        <is>
          <t>P-2470</t>
        </is>
      </c>
      <c r="F128" s="4" t="inlineStr">
        <is>
          <t>Returning</t>
        </is>
      </c>
      <c r="G128" s="4" t="inlineStr">
        <is>
          <t>WhatsApp</t>
        </is>
      </c>
      <c r="H128" s="4" t="inlineStr">
        <is>
          <t>Filler injection</t>
        </is>
      </c>
      <c r="I128" s="9">
        <f>IF($H128="","",IFERROR(INDEX('Settings'!$J$10:$J$39,MATCH($H128,'Settings'!$I$10:$I$39,0)),""))</f>
        <v/>
      </c>
      <c r="J128" s="6" t="n">
        <v>1</v>
      </c>
      <c r="K128" s="8" t="n">
        <v>1800</v>
      </c>
      <c r="L128" s="8" t="n"/>
      <c r="M128" s="14">
        <f>IF($A128="","",$J128*$K128)</f>
        <v/>
      </c>
      <c r="N128" s="14">
        <f>IF($A128="","",$M128-$L128)</f>
        <v/>
      </c>
      <c r="O128" s="4" t="inlineStr">
        <is>
          <t>Insurance</t>
        </is>
      </c>
      <c r="P128" s="15">
        <f>IF($A128="","",DATE(YEAR($A128),MONTH($A128),1))</f>
        <v/>
      </c>
      <c r="Q128" s="16">
        <f>IF($H128="","",$J128*IFERROR(INDEX('Settings'!$L$10:$L$39,MATCH($H128,'Settings'!$I$10:$I$39,0)),0))</f>
        <v/>
      </c>
      <c r="R128" s="17">
        <f>IF($A128="","",$A128-WEEKDAY($A128,2)+1)</f>
        <v/>
      </c>
    </row>
    <row r="129">
      <c r="A129" s="5" t="n">
        <v>46215</v>
      </c>
      <c r="B129" s="4" t="inlineStr">
        <is>
          <t>North branch</t>
        </is>
      </c>
      <c r="C129" s="4" t="inlineStr">
        <is>
          <t>North 2</t>
        </is>
      </c>
      <c r="D129" s="4" t="inlineStr">
        <is>
          <t>Dr Khaled Youssef</t>
        </is>
      </c>
      <c r="E129" s="4" t="inlineStr">
        <is>
          <t>P-3474</t>
        </is>
      </c>
      <c r="F129" s="4" t="inlineStr">
        <is>
          <t>Returning</t>
        </is>
      </c>
      <c r="G129" s="4" t="inlineStr">
        <is>
          <t>Referral</t>
        </is>
      </c>
      <c r="H129" s="4" t="inlineStr">
        <is>
          <t>Specialist consultation</t>
        </is>
      </c>
      <c r="I129" s="9">
        <f>IF($H129="","",IFERROR(INDEX('Settings'!$J$10:$J$39,MATCH($H129,'Settings'!$I$10:$I$39,0)),""))</f>
        <v/>
      </c>
      <c r="J129" s="6" t="n">
        <v>1</v>
      </c>
      <c r="K129" s="8" t="n">
        <v>350</v>
      </c>
      <c r="L129" s="8" t="n"/>
      <c r="M129" s="14">
        <f>IF($A129="","",$J129*$K129)</f>
        <v/>
      </c>
      <c r="N129" s="14">
        <f>IF($A129="","",$M129-$L129)</f>
        <v/>
      </c>
      <c r="O129" s="4" t="inlineStr">
        <is>
          <t>Card</t>
        </is>
      </c>
      <c r="P129" s="15">
        <f>IF($A129="","",DATE(YEAR($A129),MONTH($A129),1))</f>
        <v/>
      </c>
      <c r="Q129" s="16">
        <f>IF($H129="","",$J129*IFERROR(INDEX('Settings'!$L$10:$L$39,MATCH($H129,'Settings'!$I$10:$I$39,0)),0))</f>
        <v/>
      </c>
      <c r="R129" s="17">
        <f>IF($A129="","",$A129-WEEKDAY($A129,2)+1)</f>
        <v/>
      </c>
    </row>
    <row r="130">
      <c r="A130" s="5" t="n">
        <v>46215</v>
      </c>
      <c r="B130" s="4" t="inlineStr">
        <is>
          <t>North branch</t>
        </is>
      </c>
      <c r="C130" s="4" t="inlineStr">
        <is>
          <t>North 2</t>
        </is>
      </c>
      <c r="D130" s="4" t="inlineStr">
        <is>
          <t>Dr Khaled Youssef</t>
        </is>
      </c>
      <c r="E130" s="4" t="inlineStr">
        <is>
          <t>P-2134</t>
        </is>
      </c>
      <c r="F130" s="4" t="inlineStr">
        <is>
          <t>Returning</t>
        </is>
      </c>
      <c r="G130" s="4" t="inlineStr">
        <is>
          <t>Instagram</t>
        </is>
      </c>
      <c r="H130" s="4" t="inlineStr">
        <is>
          <t>Vitamin C serum</t>
        </is>
      </c>
      <c r="I130" s="9">
        <f>IF($H130="","",IFERROR(INDEX('Settings'!$J$10:$J$39,MATCH($H130,'Settings'!$I$10:$I$39,0)),""))</f>
        <v/>
      </c>
      <c r="J130" s="6" t="n">
        <v>2</v>
      </c>
      <c r="K130" s="8" t="n">
        <v>220</v>
      </c>
      <c r="L130" s="8" t="n"/>
      <c r="M130" s="14">
        <f>IF($A130="","",$J130*$K130)</f>
        <v/>
      </c>
      <c r="N130" s="14">
        <f>IF($A130="","",$M130-$L130)</f>
        <v/>
      </c>
      <c r="O130" s="4" t="inlineStr">
        <is>
          <t>Insurance</t>
        </is>
      </c>
      <c r="P130" s="15">
        <f>IF($A130="","",DATE(YEAR($A130),MONTH($A130),1))</f>
        <v/>
      </c>
      <c r="Q130" s="16">
        <f>IF($H130="","",$J130*IFERROR(INDEX('Settings'!$L$10:$L$39,MATCH($H130,'Settings'!$I$10:$I$39,0)),0))</f>
        <v/>
      </c>
      <c r="R130" s="17">
        <f>IF($A130="","",$A130-WEEKDAY($A130,2)+1)</f>
        <v/>
      </c>
    </row>
    <row r="131">
      <c r="A131" s="5" t="n">
        <v>46215</v>
      </c>
      <c r="B131" s="4" t="inlineStr">
        <is>
          <t>North branch</t>
        </is>
      </c>
      <c r="C131" s="4" t="inlineStr">
        <is>
          <t>North 2</t>
        </is>
      </c>
      <c r="D131" s="4" t="inlineStr">
        <is>
          <t>Dr Mohamed Adel</t>
        </is>
      </c>
      <c r="E131" s="4" t="inlineStr">
        <is>
          <t>P-3131</t>
        </is>
      </c>
      <c r="F131" s="4" t="inlineStr">
        <is>
          <t>Returning</t>
        </is>
      </c>
      <c r="G131" s="4" t="inlineStr">
        <is>
          <t>Referral</t>
        </is>
      </c>
      <c r="H131" s="4" t="inlineStr">
        <is>
          <t>Follow-up visit</t>
        </is>
      </c>
      <c r="I131" s="9">
        <f>IF($H131="","",IFERROR(INDEX('Settings'!$J$10:$J$39,MATCH($H131,'Settings'!$I$10:$I$39,0)),""))</f>
        <v/>
      </c>
      <c r="J131" s="6" t="n">
        <v>1</v>
      </c>
      <c r="K131" s="8" t="n">
        <v>150</v>
      </c>
      <c r="L131" s="8" t="n"/>
      <c r="M131" s="14">
        <f>IF($A131="","",$J131*$K131)</f>
        <v/>
      </c>
      <c r="N131" s="14">
        <f>IF($A131="","",$M131-$L131)</f>
        <v/>
      </c>
      <c r="O131" s="4" t="inlineStr">
        <is>
          <t>Card</t>
        </is>
      </c>
      <c r="P131" s="15">
        <f>IF($A131="","",DATE(YEAR($A131),MONTH($A131),1))</f>
        <v/>
      </c>
      <c r="Q131" s="16">
        <f>IF($H131="","",$J131*IFERROR(INDEX('Settings'!$L$10:$L$39,MATCH($H131,'Settings'!$I$10:$I$39,0)),0))</f>
        <v/>
      </c>
      <c r="R131" s="17">
        <f>IF($A131="","",$A131-WEEKDAY($A131,2)+1)</f>
        <v/>
      </c>
    </row>
    <row r="132">
      <c r="A132" s="5" t="n">
        <v>46216</v>
      </c>
      <c r="B132" s="4" t="inlineStr">
        <is>
          <t>Main branch</t>
        </is>
      </c>
      <c r="C132" s="4" t="inlineStr">
        <is>
          <t>Main 1</t>
        </is>
      </c>
      <c r="D132" s="4" t="inlineStr">
        <is>
          <t>Dr Noura Al Subaie</t>
        </is>
      </c>
      <c r="E132" s="4" t="inlineStr">
        <is>
          <t>P-2271</t>
        </is>
      </c>
      <c r="F132" s="4" t="inlineStr">
        <is>
          <t>Returning</t>
        </is>
      </c>
      <c r="G132" s="4" t="inlineStr">
        <is>
          <t>WhatsApp</t>
        </is>
      </c>
      <c r="H132" s="4" t="inlineStr">
        <is>
          <t>Follow-up visit</t>
        </is>
      </c>
      <c r="I132" s="9">
        <f>IF($H132="","",IFERROR(INDEX('Settings'!$J$10:$J$39,MATCH($H132,'Settings'!$I$10:$I$39,0)),""))</f>
        <v/>
      </c>
      <c r="J132" s="6" t="n">
        <v>1</v>
      </c>
      <c r="K132" s="8" t="n">
        <v>150</v>
      </c>
      <c r="L132" s="8" t="n"/>
      <c r="M132" s="14">
        <f>IF($A132="","",$J132*$K132)</f>
        <v/>
      </c>
      <c r="N132" s="14">
        <f>IF($A132="","",$M132-$L132)</f>
        <v/>
      </c>
      <c r="O132" s="4" t="inlineStr">
        <is>
          <t>Card</t>
        </is>
      </c>
      <c r="P132" s="15">
        <f>IF($A132="","",DATE(YEAR($A132),MONTH($A132),1))</f>
        <v/>
      </c>
      <c r="Q132" s="16">
        <f>IF($H132="","",$J132*IFERROR(INDEX('Settings'!$L$10:$L$39,MATCH($H132,'Settings'!$I$10:$I$39,0)),0))</f>
        <v/>
      </c>
      <c r="R132" s="17">
        <f>IF($A132="","",$A132-WEEKDAY($A132,2)+1)</f>
        <v/>
      </c>
    </row>
    <row r="133">
      <c r="A133" s="5" t="n">
        <v>46216</v>
      </c>
      <c r="B133" s="4" t="inlineStr">
        <is>
          <t>Main branch</t>
        </is>
      </c>
      <c r="C133" s="4" t="inlineStr">
        <is>
          <t>Main 3</t>
        </is>
      </c>
      <c r="D133" s="4" t="inlineStr">
        <is>
          <t>Dr Noura Al Subaie</t>
        </is>
      </c>
      <c r="E133" s="4" t="inlineStr">
        <is>
          <t>P-2552</t>
        </is>
      </c>
      <c r="F133" s="4" t="inlineStr">
        <is>
          <t>Returning</t>
        </is>
      </c>
      <c r="G133" s="4" t="inlineStr">
        <is>
          <t>Walk-in</t>
        </is>
      </c>
      <c r="H133" s="4" t="inlineStr">
        <is>
          <t>Specialist consultation</t>
        </is>
      </c>
      <c r="I133" s="9">
        <f>IF($H133="","",IFERROR(INDEX('Settings'!$J$10:$J$39,MATCH($H133,'Settings'!$I$10:$I$39,0)),""))</f>
        <v/>
      </c>
      <c r="J133" s="6" t="n">
        <v>1</v>
      </c>
      <c r="K133" s="8" t="n">
        <v>350</v>
      </c>
      <c r="L133" s="8" t="n"/>
      <c r="M133" s="14">
        <f>IF($A133="","",$J133*$K133)</f>
        <v/>
      </c>
      <c r="N133" s="14">
        <f>IF($A133="","",$M133-$L133)</f>
        <v/>
      </c>
      <c r="O133" s="4" t="inlineStr">
        <is>
          <t>Cash</t>
        </is>
      </c>
      <c r="P133" s="15">
        <f>IF($A133="","",DATE(YEAR($A133),MONTH($A133),1))</f>
        <v/>
      </c>
      <c r="Q133" s="16">
        <f>IF($H133="","",$J133*IFERROR(INDEX('Settings'!$L$10:$L$39,MATCH($H133,'Settings'!$I$10:$I$39,0)),0))</f>
        <v/>
      </c>
      <c r="R133" s="17">
        <f>IF($A133="","",$A133-WEEKDAY($A133,2)+1)</f>
        <v/>
      </c>
    </row>
    <row r="134">
      <c r="A134" s="5" t="n">
        <v>46216</v>
      </c>
      <c r="B134" s="4" t="inlineStr">
        <is>
          <t>Main branch</t>
        </is>
      </c>
      <c r="C134" s="4" t="inlineStr">
        <is>
          <t>Main 3</t>
        </is>
      </c>
      <c r="D134" s="4" t="inlineStr">
        <is>
          <t>Dr Sara Al Harbi</t>
        </is>
      </c>
      <c r="E134" s="4" t="inlineStr">
        <is>
          <t>P-3363</t>
        </is>
      </c>
      <c r="F134" s="4" t="inlineStr">
        <is>
          <t>Returning</t>
        </is>
      </c>
      <c r="G134" s="4" t="inlineStr">
        <is>
          <t>Referral</t>
        </is>
      </c>
      <c r="H134" s="4" t="inlineStr">
        <is>
          <t>Skin tag removal</t>
        </is>
      </c>
      <c r="I134" s="9">
        <f>IF($H134="","",IFERROR(INDEX('Settings'!$J$10:$J$39,MATCH($H134,'Settings'!$I$10:$I$39,0)),""))</f>
        <v/>
      </c>
      <c r="J134" s="6" t="n">
        <v>1</v>
      </c>
      <c r="K134" s="8" t="n">
        <v>500</v>
      </c>
      <c r="L134" s="8" t="n"/>
      <c r="M134" s="14">
        <f>IF($A134="","",$J134*$K134)</f>
        <v/>
      </c>
      <c r="N134" s="14">
        <f>IF($A134="","",$M134-$L134)</f>
        <v/>
      </c>
      <c r="O134" s="4" t="inlineStr">
        <is>
          <t>Payment link</t>
        </is>
      </c>
      <c r="P134" s="15">
        <f>IF($A134="","",DATE(YEAR($A134),MONTH($A134),1))</f>
        <v/>
      </c>
      <c r="Q134" s="16">
        <f>IF($H134="","",$J134*IFERROR(INDEX('Settings'!$L$10:$L$39,MATCH($H134,'Settings'!$I$10:$I$39,0)),0))</f>
        <v/>
      </c>
      <c r="R134" s="17">
        <f>IF($A134="","",$A134-WEEKDAY($A134,2)+1)</f>
        <v/>
      </c>
    </row>
    <row r="135">
      <c r="A135" s="5" t="n">
        <v>46216</v>
      </c>
      <c r="B135" s="4" t="inlineStr">
        <is>
          <t>Main branch</t>
        </is>
      </c>
      <c r="C135" s="4" t="inlineStr">
        <is>
          <t>Main 4</t>
        </is>
      </c>
      <c r="D135" s="4" t="inlineStr">
        <is>
          <t>Dr Sara Al Harbi</t>
        </is>
      </c>
      <c r="E135" s="4" t="inlineStr">
        <is>
          <t>P-2808</t>
        </is>
      </c>
      <c r="F135" s="4" t="inlineStr">
        <is>
          <t>New</t>
        </is>
      </c>
      <c r="G135" s="4" t="inlineStr">
        <is>
          <t>Referral</t>
        </is>
      </c>
      <c r="H135" s="4" t="inlineStr">
        <is>
          <t>Chemical peel</t>
        </is>
      </c>
      <c r="I135" s="9">
        <f>IF($H135="","",IFERROR(INDEX('Settings'!$J$10:$J$39,MATCH($H135,'Settings'!$I$10:$I$39,0)),""))</f>
        <v/>
      </c>
      <c r="J135" s="6" t="n">
        <v>1</v>
      </c>
      <c r="K135" s="8" t="n">
        <v>800</v>
      </c>
      <c r="L135" s="8" t="n"/>
      <c r="M135" s="14">
        <f>IF($A135="","",$J135*$K135)</f>
        <v/>
      </c>
      <c r="N135" s="14">
        <f>IF($A135="","",$M135-$L135)</f>
        <v/>
      </c>
      <c r="O135" s="4" t="inlineStr">
        <is>
          <t>Transfer</t>
        </is>
      </c>
      <c r="P135" s="15">
        <f>IF($A135="","",DATE(YEAR($A135),MONTH($A135),1))</f>
        <v/>
      </c>
      <c r="Q135" s="16">
        <f>IF($H135="","",$J135*IFERROR(INDEX('Settings'!$L$10:$L$39,MATCH($H135,'Settings'!$I$10:$I$39,0)),0))</f>
        <v/>
      </c>
      <c r="R135" s="17">
        <f>IF($A135="","",$A135-WEEKDAY($A135,2)+1)</f>
        <v/>
      </c>
    </row>
    <row r="136">
      <c r="A136" s="5" t="n">
        <v>46216</v>
      </c>
      <c r="B136" s="4" t="inlineStr">
        <is>
          <t>North branch</t>
        </is>
      </c>
      <c r="C136" s="4" t="inlineStr">
        <is>
          <t>North 1</t>
        </is>
      </c>
      <c r="D136" s="4" t="inlineStr">
        <is>
          <t>Dr Mohamed Adel</t>
        </is>
      </c>
      <c r="E136" s="4" t="inlineStr">
        <is>
          <t>P-2983</t>
        </is>
      </c>
      <c r="F136" s="4" t="inlineStr">
        <is>
          <t>Returning</t>
        </is>
      </c>
      <c r="G136" s="4" t="inlineStr">
        <is>
          <t>Google</t>
        </is>
      </c>
      <c r="H136" s="4" t="inlineStr">
        <is>
          <t>Sunscreen cream</t>
        </is>
      </c>
      <c r="I136" s="9">
        <f>IF($H136="","",IFERROR(INDEX('Settings'!$J$10:$J$39,MATCH($H136,'Settings'!$I$10:$I$39,0)),""))</f>
        <v/>
      </c>
      <c r="J136" s="6" t="n">
        <v>1</v>
      </c>
      <c r="K136" s="8" t="n">
        <v>120</v>
      </c>
      <c r="L136" s="8" t="n"/>
      <c r="M136" s="14">
        <f>IF($A136="","",$J136*$K136)</f>
        <v/>
      </c>
      <c r="N136" s="14">
        <f>IF($A136="","",$M136-$L136)</f>
        <v/>
      </c>
      <c r="O136" s="4" t="inlineStr">
        <is>
          <t>Card</t>
        </is>
      </c>
      <c r="P136" s="15">
        <f>IF($A136="","",DATE(YEAR($A136),MONTH($A136),1))</f>
        <v/>
      </c>
      <c r="Q136" s="16">
        <f>IF($H136="","",$J136*IFERROR(INDEX('Settings'!$L$10:$L$39,MATCH($H136,'Settings'!$I$10:$I$39,0)),0))</f>
        <v/>
      </c>
      <c r="R136" s="17">
        <f>IF($A136="","",$A136-WEEKDAY($A136,2)+1)</f>
        <v/>
      </c>
    </row>
    <row r="137">
      <c r="A137" s="5" t="n">
        <v>46216</v>
      </c>
      <c r="B137" s="4" t="inlineStr">
        <is>
          <t>North branch</t>
        </is>
      </c>
      <c r="C137" s="4" t="inlineStr">
        <is>
          <t>North 1</t>
        </is>
      </c>
      <c r="D137" s="4" t="inlineStr">
        <is>
          <t>Dr Khaled Youssef</t>
        </is>
      </c>
      <c r="E137" s="4" t="inlineStr">
        <is>
          <t>P-3232</t>
        </is>
      </c>
      <c r="F137" s="4" t="inlineStr">
        <is>
          <t>New</t>
        </is>
      </c>
      <c r="G137" s="4" t="inlineStr">
        <is>
          <t>Google</t>
        </is>
      </c>
      <c r="H137" s="4" t="inlineStr">
        <is>
          <t>Chemical peel</t>
        </is>
      </c>
      <c r="I137" s="9">
        <f>IF($H137="","",IFERROR(INDEX('Settings'!$J$10:$J$39,MATCH($H137,'Settings'!$I$10:$I$39,0)),""))</f>
        <v/>
      </c>
      <c r="J137" s="6" t="n">
        <v>1</v>
      </c>
      <c r="K137" s="8" t="n">
        <v>800</v>
      </c>
      <c r="L137" s="8" t="n"/>
      <c r="M137" s="14">
        <f>IF($A137="","",$J137*$K137)</f>
        <v/>
      </c>
      <c r="N137" s="14">
        <f>IF($A137="","",$M137-$L137)</f>
        <v/>
      </c>
      <c r="O137" s="4" t="inlineStr">
        <is>
          <t>Transfer</t>
        </is>
      </c>
      <c r="P137" s="15">
        <f>IF($A137="","",DATE(YEAR($A137),MONTH($A137),1))</f>
        <v/>
      </c>
      <c r="Q137" s="16">
        <f>IF($H137="","",$J137*IFERROR(INDEX('Settings'!$L$10:$L$39,MATCH($H137,'Settings'!$I$10:$I$39,0)),0))</f>
        <v/>
      </c>
      <c r="R137" s="17">
        <f>IF($A137="","",$A137-WEEKDAY($A137,2)+1)</f>
        <v/>
      </c>
    </row>
    <row r="138">
      <c r="A138" s="5" t="n">
        <v>46216</v>
      </c>
      <c r="B138" s="4" t="inlineStr">
        <is>
          <t>North branch</t>
        </is>
      </c>
      <c r="C138" s="4" t="inlineStr">
        <is>
          <t>North 1</t>
        </is>
      </c>
      <c r="D138" s="4" t="inlineStr">
        <is>
          <t>Dr Mohamed Adel</t>
        </is>
      </c>
      <c r="E138" s="4" t="inlineStr">
        <is>
          <t>P-3011</t>
        </is>
      </c>
      <c r="F138" s="4" t="inlineStr">
        <is>
          <t>Returning</t>
        </is>
      </c>
      <c r="G138" s="4" t="inlineStr">
        <is>
          <t>Walk-in</t>
        </is>
      </c>
      <c r="H138" s="4" t="inlineStr">
        <is>
          <t>Laser session, body</t>
        </is>
      </c>
      <c r="I138" s="9">
        <f>IF($H138="","",IFERROR(INDEX('Settings'!$J$10:$J$39,MATCH($H138,'Settings'!$I$10:$I$39,0)),""))</f>
        <v/>
      </c>
      <c r="J138" s="6" t="n">
        <v>1</v>
      </c>
      <c r="K138" s="8" t="n">
        <v>1200</v>
      </c>
      <c r="L138" s="8" t="n">
        <v>60</v>
      </c>
      <c r="M138" s="14">
        <f>IF($A138="","",$J138*$K138)</f>
        <v/>
      </c>
      <c r="N138" s="14">
        <f>IF($A138="","",$M138-$L138)</f>
        <v/>
      </c>
      <c r="O138" s="4" t="inlineStr">
        <is>
          <t>Card</t>
        </is>
      </c>
      <c r="P138" s="15">
        <f>IF($A138="","",DATE(YEAR($A138),MONTH($A138),1))</f>
        <v/>
      </c>
      <c r="Q138" s="16">
        <f>IF($H138="","",$J138*IFERROR(INDEX('Settings'!$L$10:$L$39,MATCH($H138,'Settings'!$I$10:$I$39,0)),0))</f>
        <v/>
      </c>
      <c r="R138" s="17">
        <f>IF($A138="","",$A138-WEEKDAY($A138,2)+1)</f>
        <v/>
      </c>
    </row>
    <row r="139">
      <c r="A139" s="5" t="n">
        <v>46216</v>
      </c>
      <c r="B139" s="4" t="inlineStr">
        <is>
          <t>North branch</t>
        </is>
      </c>
      <c r="C139" s="4" t="inlineStr">
        <is>
          <t>North 1</t>
        </is>
      </c>
      <c r="D139" s="4" t="inlineStr">
        <is>
          <t>Dr Layla Al Qahtani</t>
        </is>
      </c>
      <c r="E139" s="4" t="inlineStr">
        <is>
          <t>P-2783</t>
        </is>
      </c>
      <c r="F139" s="4" t="inlineStr">
        <is>
          <t>Returning</t>
        </is>
      </c>
      <c r="G139" s="4" t="inlineStr">
        <is>
          <t>Google</t>
        </is>
      </c>
      <c r="H139" s="4" t="inlineStr">
        <is>
          <t>Follow-up visit</t>
        </is>
      </c>
      <c r="I139" s="9">
        <f>IF($H139="","",IFERROR(INDEX('Settings'!$J$10:$J$39,MATCH($H139,'Settings'!$I$10:$I$39,0)),""))</f>
        <v/>
      </c>
      <c r="J139" s="6" t="n">
        <v>1</v>
      </c>
      <c r="K139" s="8" t="n">
        <v>150</v>
      </c>
      <c r="L139" s="8" t="n"/>
      <c r="M139" s="14">
        <f>IF($A139="","",$J139*$K139)</f>
        <v/>
      </c>
      <c r="N139" s="14">
        <f>IF($A139="","",$M139-$L139)</f>
        <v/>
      </c>
      <c r="O139" s="4" t="inlineStr">
        <is>
          <t>Payment link</t>
        </is>
      </c>
      <c r="P139" s="15">
        <f>IF($A139="","",DATE(YEAR($A139),MONTH($A139),1))</f>
        <v/>
      </c>
      <c r="Q139" s="16">
        <f>IF($H139="","",$J139*IFERROR(INDEX('Settings'!$L$10:$L$39,MATCH($H139,'Settings'!$I$10:$I$39,0)),0))</f>
        <v/>
      </c>
      <c r="R139" s="17">
        <f>IF($A139="","",$A139-WEEKDAY($A139,2)+1)</f>
        <v/>
      </c>
    </row>
    <row r="140">
      <c r="A140" s="5" t="n">
        <v>46216</v>
      </c>
      <c r="B140" s="4" t="inlineStr">
        <is>
          <t>North branch</t>
        </is>
      </c>
      <c r="C140" s="4" t="inlineStr">
        <is>
          <t>North 1</t>
        </is>
      </c>
      <c r="D140" s="4" t="inlineStr">
        <is>
          <t>Dr Layla Al Qahtani</t>
        </is>
      </c>
      <c r="E140" s="4" t="inlineStr">
        <is>
          <t>P-2247</t>
        </is>
      </c>
      <c r="F140" s="4" t="inlineStr">
        <is>
          <t>Returning</t>
        </is>
      </c>
      <c r="G140" s="4" t="inlineStr">
        <is>
          <t>WhatsApp</t>
        </is>
      </c>
      <c r="H140" s="4" t="inlineStr">
        <is>
          <t>Follow-up visit</t>
        </is>
      </c>
      <c r="I140" s="9">
        <f>IF($H140="","",IFERROR(INDEX('Settings'!$J$10:$J$39,MATCH($H140,'Settings'!$I$10:$I$39,0)),""))</f>
        <v/>
      </c>
      <c r="J140" s="6" t="n">
        <v>1</v>
      </c>
      <c r="K140" s="8" t="n">
        <v>150</v>
      </c>
      <c r="L140" s="8" t="n"/>
      <c r="M140" s="14">
        <f>IF($A140="","",$J140*$K140)</f>
        <v/>
      </c>
      <c r="N140" s="14">
        <f>IF($A140="","",$M140-$L140)</f>
        <v/>
      </c>
      <c r="O140" s="4" t="inlineStr">
        <is>
          <t>Transfer</t>
        </is>
      </c>
      <c r="P140" s="15">
        <f>IF($A140="","",DATE(YEAR($A140),MONTH($A140),1))</f>
        <v/>
      </c>
      <c r="Q140" s="16">
        <f>IF($H140="","",$J140*IFERROR(INDEX('Settings'!$L$10:$L$39,MATCH($H140,'Settings'!$I$10:$I$39,0)),0))</f>
        <v/>
      </c>
      <c r="R140" s="17">
        <f>IF($A140="","",$A140-WEEKDAY($A140,2)+1)</f>
        <v/>
      </c>
    </row>
    <row r="141">
      <c r="A141" s="5" t="n">
        <v>46216</v>
      </c>
      <c r="B141" s="4" t="inlineStr">
        <is>
          <t>North branch</t>
        </is>
      </c>
      <c r="C141" s="4" t="inlineStr">
        <is>
          <t>North 1</t>
        </is>
      </c>
      <c r="D141" s="4" t="inlineStr">
        <is>
          <t>Dr Mohamed Adel</t>
        </is>
      </c>
      <c r="E141" s="4" t="inlineStr">
        <is>
          <t>P-2854</t>
        </is>
      </c>
      <c r="F141" s="4" t="inlineStr">
        <is>
          <t>Returning</t>
        </is>
      </c>
      <c r="G141" s="4" t="inlineStr">
        <is>
          <t>Google</t>
        </is>
      </c>
      <c r="H141" s="4" t="inlineStr">
        <is>
          <t>Laser session, face</t>
        </is>
      </c>
      <c r="I141" s="9">
        <f>IF($H141="","",IFERROR(INDEX('Settings'!$J$10:$J$39,MATCH($H141,'Settings'!$I$10:$I$39,0)),""))</f>
        <v/>
      </c>
      <c r="J141" s="6" t="n">
        <v>1</v>
      </c>
      <c r="K141" s="8" t="n">
        <v>600</v>
      </c>
      <c r="L141" s="8" t="n">
        <v>60</v>
      </c>
      <c r="M141" s="14">
        <f>IF($A141="","",$J141*$K141)</f>
        <v/>
      </c>
      <c r="N141" s="14">
        <f>IF($A141="","",$M141-$L141)</f>
        <v/>
      </c>
      <c r="O141" s="4" t="inlineStr">
        <is>
          <t>Card</t>
        </is>
      </c>
      <c r="P141" s="15">
        <f>IF($A141="","",DATE(YEAR($A141),MONTH($A141),1))</f>
        <v/>
      </c>
      <c r="Q141" s="16">
        <f>IF($H141="","",$J141*IFERROR(INDEX('Settings'!$L$10:$L$39,MATCH($H141,'Settings'!$I$10:$I$39,0)),0))</f>
        <v/>
      </c>
      <c r="R141" s="17">
        <f>IF($A141="","",$A141-WEEKDAY($A141,2)+1)</f>
        <v/>
      </c>
    </row>
    <row r="142">
      <c r="A142" s="5" t="n">
        <v>46216</v>
      </c>
      <c r="B142" s="4" t="inlineStr">
        <is>
          <t>North branch</t>
        </is>
      </c>
      <c r="C142" s="4" t="inlineStr">
        <is>
          <t>North 1</t>
        </is>
      </c>
      <c r="D142" s="4" t="inlineStr">
        <is>
          <t>Dr Layla Al Qahtani</t>
        </is>
      </c>
      <c r="E142" s="4" t="inlineStr">
        <is>
          <t>P-3285</t>
        </is>
      </c>
      <c r="F142" s="4" t="inlineStr">
        <is>
          <t>New</t>
        </is>
      </c>
      <c r="G142" s="4" t="inlineStr">
        <is>
          <t>Instagram</t>
        </is>
      </c>
      <c r="H142" s="4" t="inlineStr">
        <is>
          <t>Laser session, face</t>
        </is>
      </c>
      <c r="I142" s="9">
        <f>IF($H142="","",IFERROR(INDEX('Settings'!$J$10:$J$39,MATCH($H142,'Settings'!$I$10:$I$39,0)),""))</f>
        <v/>
      </c>
      <c r="J142" s="6" t="n">
        <v>1</v>
      </c>
      <c r="K142" s="8" t="n">
        <v>600</v>
      </c>
      <c r="L142" s="8" t="n"/>
      <c r="M142" s="14">
        <f>IF($A142="","",$J142*$K142)</f>
        <v/>
      </c>
      <c r="N142" s="14">
        <f>IF($A142="","",$M142-$L142)</f>
        <v/>
      </c>
      <c r="O142" s="4" t="inlineStr">
        <is>
          <t>Card</t>
        </is>
      </c>
      <c r="P142" s="15">
        <f>IF($A142="","",DATE(YEAR($A142),MONTH($A142),1))</f>
        <v/>
      </c>
      <c r="Q142" s="16">
        <f>IF($H142="","",$J142*IFERROR(INDEX('Settings'!$L$10:$L$39,MATCH($H142,'Settings'!$I$10:$I$39,0)),0))</f>
        <v/>
      </c>
      <c r="R142" s="17">
        <f>IF($A142="","",$A142-WEEKDAY($A142,2)+1)</f>
        <v/>
      </c>
    </row>
    <row r="143">
      <c r="A143" s="5" t="n">
        <v>46216</v>
      </c>
      <c r="B143" s="4" t="inlineStr">
        <is>
          <t>North branch</t>
        </is>
      </c>
      <c r="C143" s="4" t="inlineStr">
        <is>
          <t>North 2</t>
        </is>
      </c>
      <c r="D143" s="4" t="inlineStr">
        <is>
          <t>Dr Khaled Youssef</t>
        </is>
      </c>
      <c r="E143" s="4" t="inlineStr">
        <is>
          <t>P-2295</t>
        </is>
      </c>
      <c r="F143" s="4" t="inlineStr">
        <is>
          <t>Returning</t>
        </is>
      </c>
      <c r="G143" s="4" t="inlineStr">
        <is>
          <t>Instagram</t>
        </is>
      </c>
      <c r="H143" s="4" t="inlineStr">
        <is>
          <t>Specialist consultation</t>
        </is>
      </c>
      <c r="I143" s="9">
        <f>IF($H143="","",IFERROR(INDEX('Settings'!$J$10:$J$39,MATCH($H143,'Settings'!$I$10:$I$39,0)),""))</f>
        <v/>
      </c>
      <c r="J143" s="6" t="n">
        <v>1</v>
      </c>
      <c r="K143" s="8" t="n">
        <v>350</v>
      </c>
      <c r="L143" s="8" t="n"/>
      <c r="M143" s="14">
        <f>IF($A143="","",$J143*$K143)</f>
        <v/>
      </c>
      <c r="N143" s="14">
        <f>IF($A143="","",$M143-$L143)</f>
        <v/>
      </c>
      <c r="O143" s="4" t="inlineStr">
        <is>
          <t>Insurance</t>
        </is>
      </c>
      <c r="P143" s="15">
        <f>IF($A143="","",DATE(YEAR($A143),MONTH($A143),1))</f>
        <v/>
      </c>
      <c r="Q143" s="16">
        <f>IF($H143="","",$J143*IFERROR(INDEX('Settings'!$L$10:$L$39,MATCH($H143,'Settings'!$I$10:$I$39,0)),0))</f>
        <v/>
      </c>
      <c r="R143" s="17">
        <f>IF($A143="","",$A143-WEEKDAY($A143,2)+1)</f>
        <v/>
      </c>
    </row>
    <row r="144">
      <c r="A144" s="5" t="n">
        <v>46216</v>
      </c>
      <c r="B144" s="4" t="inlineStr">
        <is>
          <t>North branch</t>
        </is>
      </c>
      <c r="C144" s="4" t="inlineStr">
        <is>
          <t>North 2</t>
        </is>
      </c>
      <c r="D144" s="4" t="inlineStr">
        <is>
          <t>Dr Khaled Youssef</t>
        </is>
      </c>
      <c r="E144" s="4" t="inlineStr">
        <is>
          <t>P-3267</t>
        </is>
      </c>
      <c r="F144" s="4" t="inlineStr">
        <is>
          <t>Returning</t>
        </is>
      </c>
      <c r="G144" s="4" t="inlineStr">
        <is>
          <t>Instagram</t>
        </is>
      </c>
      <c r="H144" s="4" t="inlineStr">
        <is>
          <t>Laser session, body</t>
        </is>
      </c>
      <c r="I144" s="9">
        <f>IF($H144="","",IFERROR(INDEX('Settings'!$J$10:$J$39,MATCH($H144,'Settings'!$I$10:$I$39,0)),""))</f>
        <v/>
      </c>
      <c r="J144" s="6" t="n">
        <v>1</v>
      </c>
      <c r="K144" s="8" t="n">
        <v>1200</v>
      </c>
      <c r="L144" s="8" t="n">
        <v>120</v>
      </c>
      <c r="M144" s="14">
        <f>IF($A144="","",$J144*$K144)</f>
        <v/>
      </c>
      <c r="N144" s="14">
        <f>IF($A144="","",$M144-$L144)</f>
        <v/>
      </c>
      <c r="O144" s="4" t="inlineStr">
        <is>
          <t>Card</t>
        </is>
      </c>
      <c r="P144" s="15">
        <f>IF($A144="","",DATE(YEAR($A144),MONTH($A144),1))</f>
        <v/>
      </c>
      <c r="Q144" s="16">
        <f>IF($H144="","",$J144*IFERROR(INDEX('Settings'!$L$10:$L$39,MATCH($H144,'Settings'!$I$10:$I$39,0)),0))</f>
        <v/>
      </c>
      <c r="R144" s="17">
        <f>IF($A144="","",$A144-WEEKDAY($A144,2)+1)</f>
        <v/>
      </c>
    </row>
    <row r="145">
      <c r="A145" s="5" t="n">
        <v>46216</v>
      </c>
      <c r="B145" s="4" t="inlineStr">
        <is>
          <t>North branch</t>
        </is>
      </c>
      <c r="C145" s="4" t="inlineStr">
        <is>
          <t>North 2</t>
        </is>
      </c>
      <c r="D145" s="4" t="inlineStr">
        <is>
          <t>Dr Mohamed Adel</t>
        </is>
      </c>
      <c r="E145" s="4" t="inlineStr">
        <is>
          <t>P-3125</t>
        </is>
      </c>
      <c r="F145" s="4" t="inlineStr">
        <is>
          <t>Returning</t>
        </is>
      </c>
      <c r="G145" s="4" t="inlineStr">
        <is>
          <t>Google</t>
        </is>
      </c>
      <c r="H145" s="4" t="inlineStr">
        <is>
          <t>Skin tag removal</t>
        </is>
      </c>
      <c r="I145" s="9">
        <f>IF($H145="","",IFERROR(INDEX('Settings'!$J$10:$J$39,MATCH($H145,'Settings'!$I$10:$I$39,0)),""))</f>
        <v/>
      </c>
      <c r="J145" s="6" t="n">
        <v>1</v>
      </c>
      <c r="K145" s="8" t="n">
        <v>500</v>
      </c>
      <c r="L145" s="8" t="n"/>
      <c r="M145" s="14">
        <f>IF($A145="","",$J145*$K145)</f>
        <v/>
      </c>
      <c r="N145" s="14">
        <f>IF($A145="","",$M145-$L145)</f>
        <v/>
      </c>
      <c r="O145" s="4" t="inlineStr">
        <is>
          <t>Cash</t>
        </is>
      </c>
      <c r="P145" s="15">
        <f>IF($A145="","",DATE(YEAR($A145),MONTH($A145),1))</f>
        <v/>
      </c>
      <c r="Q145" s="16">
        <f>IF($H145="","",$J145*IFERROR(INDEX('Settings'!$L$10:$L$39,MATCH($H145,'Settings'!$I$10:$I$39,0)),0))</f>
        <v/>
      </c>
      <c r="R145" s="17">
        <f>IF($A145="","",$A145-WEEKDAY($A145,2)+1)</f>
        <v/>
      </c>
    </row>
    <row r="146">
      <c r="A146" s="5" t="n">
        <v>46217</v>
      </c>
      <c r="B146" s="4" t="inlineStr">
        <is>
          <t>Main branch</t>
        </is>
      </c>
      <c r="C146" s="4" t="inlineStr">
        <is>
          <t>Main 1</t>
        </is>
      </c>
      <c r="D146" s="4" t="inlineStr">
        <is>
          <t>Dr Ahmed Mansour</t>
        </is>
      </c>
      <c r="E146" s="4" t="inlineStr">
        <is>
          <t>P-2720</t>
        </is>
      </c>
      <c r="F146" s="4" t="inlineStr">
        <is>
          <t>New</t>
        </is>
      </c>
      <c r="G146" s="4" t="inlineStr">
        <is>
          <t>Referral</t>
        </is>
      </c>
      <c r="H146" s="4" t="inlineStr">
        <is>
          <t>Physiotherapy session</t>
        </is>
      </c>
      <c r="I146" s="9">
        <f>IF($H146="","",IFERROR(INDEX('Settings'!$J$10:$J$39,MATCH($H146,'Settings'!$I$10:$I$39,0)),""))</f>
        <v/>
      </c>
      <c r="J146" s="6" t="n">
        <v>1</v>
      </c>
      <c r="K146" s="8" t="n">
        <v>300</v>
      </c>
      <c r="L146" s="8" t="n"/>
      <c r="M146" s="14">
        <f>IF($A146="","",$J146*$K146)</f>
        <v/>
      </c>
      <c r="N146" s="14">
        <f>IF($A146="","",$M146-$L146)</f>
        <v/>
      </c>
      <c r="O146" s="4" t="inlineStr">
        <is>
          <t>Card</t>
        </is>
      </c>
      <c r="P146" s="15">
        <f>IF($A146="","",DATE(YEAR($A146),MONTH($A146),1))</f>
        <v/>
      </c>
      <c r="Q146" s="16">
        <f>IF($H146="","",$J146*IFERROR(INDEX('Settings'!$L$10:$L$39,MATCH($H146,'Settings'!$I$10:$I$39,0)),0))</f>
        <v/>
      </c>
      <c r="R146" s="17">
        <f>IF($A146="","",$A146-WEEKDAY($A146,2)+1)</f>
        <v/>
      </c>
    </row>
    <row r="147">
      <c r="A147" s="5" t="n">
        <v>46217</v>
      </c>
      <c r="B147" s="4" t="inlineStr">
        <is>
          <t>Main branch</t>
        </is>
      </c>
      <c r="C147" s="4" t="inlineStr">
        <is>
          <t>Main 1</t>
        </is>
      </c>
      <c r="D147" s="4" t="inlineStr">
        <is>
          <t>Dr Noura Al Subaie</t>
        </is>
      </c>
      <c r="E147" s="4" t="inlineStr">
        <is>
          <t>P-3067</t>
        </is>
      </c>
      <c r="F147" s="4" t="inlineStr">
        <is>
          <t>Returning</t>
        </is>
      </c>
      <c r="G147" s="4" t="inlineStr">
        <is>
          <t>Instagram</t>
        </is>
      </c>
      <c r="H147" s="4" t="inlineStr">
        <is>
          <t>Physiotherapy session</t>
        </is>
      </c>
      <c r="I147" s="9">
        <f>IF($H147="","",IFERROR(INDEX('Settings'!$J$10:$J$39,MATCH($H147,'Settings'!$I$10:$I$39,0)),""))</f>
        <v/>
      </c>
      <c r="J147" s="6" t="n">
        <v>1</v>
      </c>
      <c r="K147" s="8" t="n">
        <v>300</v>
      </c>
      <c r="L147" s="8" t="n"/>
      <c r="M147" s="14">
        <f>IF($A147="","",$J147*$K147)</f>
        <v/>
      </c>
      <c r="N147" s="14">
        <f>IF($A147="","",$M147-$L147)</f>
        <v/>
      </c>
      <c r="O147" s="4" t="inlineStr">
        <is>
          <t>Card</t>
        </is>
      </c>
      <c r="P147" s="15">
        <f>IF($A147="","",DATE(YEAR($A147),MONTH($A147),1))</f>
        <v/>
      </c>
      <c r="Q147" s="16">
        <f>IF($H147="","",$J147*IFERROR(INDEX('Settings'!$L$10:$L$39,MATCH($H147,'Settings'!$I$10:$I$39,0)),0))</f>
        <v/>
      </c>
      <c r="R147" s="17">
        <f>IF($A147="","",$A147-WEEKDAY($A147,2)+1)</f>
        <v/>
      </c>
    </row>
    <row r="148">
      <c r="A148" s="5" t="n">
        <v>46217</v>
      </c>
      <c r="B148" s="4" t="inlineStr">
        <is>
          <t>Main branch</t>
        </is>
      </c>
      <c r="C148" s="4" t="inlineStr">
        <is>
          <t>Main 2</t>
        </is>
      </c>
      <c r="D148" s="4" t="inlineStr">
        <is>
          <t>Dr Noura Al Subaie</t>
        </is>
      </c>
      <c r="E148" s="4" t="inlineStr">
        <is>
          <t>P-2981</t>
        </is>
      </c>
      <c r="F148" s="4" t="inlineStr">
        <is>
          <t>Returning</t>
        </is>
      </c>
      <c r="G148" s="4" t="inlineStr">
        <is>
          <t>Google</t>
        </is>
      </c>
      <c r="H148" s="4" t="inlineStr">
        <is>
          <t>Specialist consultation</t>
        </is>
      </c>
      <c r="I148" s="9">
        <f>IF($H148="","",IFERROR(INDEX('Settings'!$J$10:$J$39,MATCH($H148,'Settings'!$I$10:$I$39,0)),""))</f>
        <v/>
      </c>
      <c r="J148" s="6" t="n">
        <v>1</v>
      </c>
      <c r="K148" s="8" t="n">
        <v>350</v>
      </c>
      <c r="L148" s="8" t="n"/>
      <c r="M148" s="14">
        <f>IF($A148="","",$J148*$K148)</f>
        <v/>
      </c>
      <c r="N148" s="14">
        <f>IF($A148="","",$M148-$L148)</f>
        <v/>
      </c>
      <c r="O148" s="4" t="inlineStr">
        <is>
          <t>Insurance</t>
        </is>
      </c>
      <c r="P148" s="15">
        <f>IF($A148="","",DATE(YEAR($A148),MONTH($A148),1))</f>
        <v/>
      </c>
      <c r="Q148" s="16">
        <f>IF($H148="","",$J148*IFERROR(INDEX('Settings'!$L$10:$L$39,MATCH($H148,'Settings'!$I$10:$I$39,0)),0))</f>
        <v/>
      </c>
      <c r="R148" s="17">
        <f>IF($A148="","",$A148-WEEKDAY($A148,2)+1)</f>
        <v/>
      </c>
    </row>
    <row r="149">
      <c r="A149" s="5" t="n">
        <v>46217</v>
      </c>
      <c r="B149" s="4" t="inlineStr">
        <is>
          <t>Main branch</t>
        </is>
      </c>
      <c r="C149" s="4" t="inlineStr">
        <is>
          <t>Main 3</t>
        </is>
      </c>
      <c r="D149" s="4" t="inlineStr">
        <is>
          <t>Dr Noura Al Subaie</t>
        </is>
      </c>
      <c r="E149" s="4" t="inlineStr">
        <is>
          <t>P-2917</t>
        </is>
      </c>
      <c r="F149" s="4" t="inlineStr">
        <is>
          <t>Returning</t>
        </is>
      </c>
      <c r="G149" s="4" t="inlineStr">
        <is>
          <t>WhatsApp</t>
        </is>
      </c>
      <c r="H149" s="4" t="inlineStr">
        <is>
          <t>Sunscreen cream</t>
        </is>
      </c>
      <c r="I149" s="9">
        <f>IF($H149="","",IFERROR(INDEX('Settings'!$J$10:$J$39,MATCH($H149,'Settings'!$I$10:$I$39,0)),""))</f>
        <v/>
      </c>
      <c r="J149" s="6" t="n">
        <v>1</v>
      </c>
      <c r="K149" s="8" t="n">
        <v>120</v>
      </c>
      <c r="L149" s="8" t="n"/>
      <c r="M149" s="14">
        <f>IF($A149="","",$J149*$K149)</f>
        <v/>
      </c>
      <c r="N149" s="14">
        <f>IF($A149="","",$M149-$L149)</f>
        <v/>
      </c>
      <c r="O149" s="4" t="inlineStr">
        <is>
          <t>Cash</t>
        </is>
      </c>
      <c r="P149" s="15">
        <f>IF($A149="","",DATE(YEAR($A149),MONTH($A149),1))</f>
        <v/>
      </c>
      <c r="Q149" s="16">
        <f>IF($H149="","",$J149*IFERROR(INDEX('Settings'!$L$10:$L$39,MATCH($H149,'Settings'!$I$10:$I$39,0)),0))</f>
        <v/>
      </c>
      <c r="R149" s="17">
        <f>IF($A149="","",$A149-WEEKDAY($A149,2)+1)</f>
        <v/>
      </c>
    </row>
    <row r="150">
      <c r="A150" s="5" t="n">
        <v>46217</v>
      </c>
      <c r="B150" s="4" t="inlineStr">
        <is>
          <t>Main branch</t>
        </is>
      </c>
      <c r="C150" s="4" t="inlineStr">
        <is>
          <t>Main 3</t>
        </is>
      </c>
      <c r="D150" s="4" t="inlineStr">
        <is>
          <t>Dr Sara Al Harbi</t>
        </is>
      </c>
      <c r="E150" s="4" t="inlineStr">
        <is>
          <t>P-3364</t>
        </is>
      </c>
      <c r="F150" s="4" t="inlineStr">
        <is>
          <t>New</t>
        </is>
      </c>
      <c r="G150" s="4" t="inlineStr">
        <is>
          <t>Google</t>
        </is>
      </c>
      <c r="H150" s="4" t="inlineStr">
        <is>
          <t>Facial cleansing</t>
        </is>
      </c>
      <c r="I150" s="9">
        <f>IF($H150="","",IFERROR(INDEX('Settings'!$J$10:$J$39,MATCH($H150,'Settings'!$I$10:$I$39,0)),""))</f>
        <v/>
      </c>
      <c r="J150" s="6" t="n">
        <v>1</v>
      </c>
      <c r="K150" s="8" t="n">
        <v>400</v>
      </c>
      <c r="L150" s="8" t="n"/>
      <c r="M150" s="14">
        <f>IF($A150="","",$J150*$K150)</f>
        <v/>
      </c>
      <c r="N150" s="14">
        <f>IF($A150="","",$M150-$L150)</f>
        <v/>
      </c>
      <c r="O150" s="4" t="inlineStr">
        <is>
          <t>Card</t>
        </is>
      </c>
      <c r="P150" s="15">
        <f>IF($A150="","",DATE(YEAR($A150),MONTH($A150),1))</f>
        <v/>
      </c>
      <c r="Q150" s="16">
        <f>IF($H150="","",$J150*IFERROR(INDEX('Settings'!$L$10:$L$39,MATCH($H150,'Settings'!$I$10:$I$39,0)),0))</f>
        <v/>
      </c>
      <c r="R150" s="17">
        <f>IF($A150="","",$A150-WEEKDAY($A150,2)+1)</f>
        <v/>
      </c>
    </row>
    <row r="151">
      <c r="A151" s="5" t="n">
        <v>46217</v>
      </c>
      <c r="B151" s="4" t="inlineStr">
        <is>
          <t>Main branch</t>
        </is>
      </c>
      <c r="C151" s="4" t="inlineStr">
        <is>
          <t>Main 4</t>
        </is>
      </c>
      <c r="D151" s="4" t="inlineStr">
        <is>
          <t>Dr Sara Al Harbi</t>
        </is>
      </c>
      <c r="E151" s="4" t="inlineStr">
        <is>
          <t>P-3344</t>
        </is>
      </c>
      <c r="F151" s="4" t="inlineStr">
        <is>
          <t>Returning</t>
        </is>
      </c>
      <c r="G151" s="4" t="inlineStr">
        <is>
          <t>Referral</t>
        </is>
      </c>
      <c r="H151" s="4" t="inlineStr">
        <is>
          <t>Skin tag removal</t>
        </is>
      </c>
      <c r="I151" s="9">
        <f>IF($H151="","",IFERROR(INDEX('Settings'!$J$10:$J$39,MATCH($H151,'Settings'!$I$10:$I$39,0)),""))</f>
        <v/>
      </c>
      <c r="J151" s="6" t="n">
        <v>1</v>
      </c>
      <c r="K151" s="8" t="n">
        <v>500</v>
      </c>
      <c r="L151" s="8" t="n"/>
      <c r="M151" s="14">
        <f>IF($A151="","",$J151*$K151)</f>
        <v/>
      </c>
      <c r="N151" s="14">
        <f>IF($A151="","",$M151-$L151)</f>
        <v/>
      </c>
      <c r="O151" s="4" t="inlineStr">
        <is>
          <t>Transfer</t>
        </is>
      </c>
      <c r="P151" s="15">
        <f>IF($A151="","",DATE(YEAR($A151),MONTH($A151),1))</f>
        <v/>
      </c>
      <c r="Q151" s="16">
        <f>IF($H151="","",$J151*IFERROR(INDEX('Settings'!$L$10:$L$39,MATCH($H151,'Settings'!$I$10:$I$39,0)),0))</f>
        <v/>
      </c>
      <c r="R151" s="17">
        <f>IF($A151="","",$A151-WEEKDAY($A151,2)+1)</f>
        <v/>
      </c>
    </row>
    <row r="152">
      <c r="A152" s="5" t="n">
        <v>46217</v>
      </c>
      <c r="B152" s="4" t="inlineStr">
        <is>
          <t>Main branch</t>
        </is>
      </c>
      <c r="C152" s="4" t="inlineStr">
        <is>
          <t>Main 4</t>
        </is>
      </c>
      <c r="D152" s="4" t="inlineStr">
        <is>
          <t>Dr Ahmed Mansour</t>
        </is>
      </c>
      <c r="E152" s="4" t="inlineStr">
        <is>
          <t>P-2536</t>
        </is>
      </c>
      <c r="F152" s="4" t="inlineStr">
        <is>
          <t>Returning</t>
        </is>
      </c>
      <c r="G152" s="4" t="inlineStr">
        <is>
          <t>Google</t>
        </is>
      </c>
      <c r="H152" s="4" t="inlineStr">
        <is>
          <t>Follow-up visit</t>
        </is>
      </c>
      <c r="I152" s="9">
        <f>IF($H152="","",IFERROR(INDEX('Settings'!$J$10:$J$39,MATCH($H152,'Settings'!$I$10:$I$39,0)),""))</f>
        <v/>
      </c>
      <c r="J152" s="6" t="n">
        <v>1</v>
      </c>
      <c r="K152" s="8" t="n">
        <v>150</v>
      </c>
      <c r="L152" s="8" t="n"/>
      <c r="M152" s="14">
        <f>IF($A152="","",$J152*$K152)</f>
        <v/>
      </c>
      <c r="N152" s="14">
        <f>IF($A152="","",$M152-$L152)</f>
        <v/>
      </c>
      <c r="O152" s="4" t="inlineStr">
        <is>
          <t>Cash</t>
        </is>
      </c>
      <c r="P152" s="15">
        <f>IF($A152="","",DATE(YEAR($A152),MONTH($A152),1))</f>
        <v/>
      </c>
      <c r="Q152" s="16">
        <f>IF($H152="","",$J152*IFERROR(INDEX('Settings'!$L$10:$L$39,MATCH($H152,'Settings'!$I$10:$I$39,0)),0))</f>
        <v/>
      </c>
      <c r="R152" s="17">
        <f>IF($A152="","",$A152-WEEKDAY($A152,2)+1)</f>
        <v/>
      </c>
    </row>
    <row r="153">
      <c r="A153" s="5" t="n">
        <v>46217</v>
      </c>
      <c r="B153" s="4" t="inlineStr">
        <is>
          <t>Main branch</t>
        </is>
      </c>
      <c r="C153" s="4" t="inlineStr">
        <is>
          <t>Main 4</t>
        </is>
      </c>
      <c r="D153" s="4" t="inlineStr">
        <is>
          <t>Dr Sara Al Harbi</t>
        </is>
      </c>
      <c r="E153" s="4" t="inlineStr">
        <is>
          <t>P-3313</t>
        </is>
      </c>
      <c r="F153" s="4" t="inlineStr">
        <is>
          <t>Returning</t>
        </is>
      </c>
      <c r="G153" s="4" t="inlineStr">
        <is>
          <t>Google</t>
        </is>
      </c>
      <c r="H153" s="4" t="inlineStr">
        <is>
          <t>Physiotherapy session</t>
        </is>
      </c>
      <c r="I153" s="9">
        <f>IF($H153="","",IFERROR(INDEX('Settings'!$J$10:$J$39,MATCH($H153,'Settings'!$I$10:$I$39,0)),""))</f>
        <v/>
      </c>
      <c r="J153" s="6" t="n">
        <v>1</v>
      </c>
      <c r="K153" s="8" t="n">
        <v>300</v>
      </c>
      <c r="L153" s="8" t="n"/>
      <c r="M153" s="14">
        <f>IF($A153="","",$J153*$K153)</f>
        <v/>
      </c>
      <c r="N153" s="14">
        <f>IF($A153="","",$M153-$L153)</f>
        <v/>
      </c>
      <c r="O153" s="4" t="inlineStr">
        <is>
          <t>Payment link</t>
        </is>
      </c>
      <c r="P153" s="15">
        <f>IF($A153="","",DATE(YEAR($A153),MONTH($A153),1))</f>
        <v/>
      </c>
      <c r="Q153" s="16">
        <f>IF($H153="","",$J153*IFERROR(INDEX('Settings'!$L$10:$L$39,MATCH($H153,'Settings'!$I$10:$I$39,0)),0))</f>
        <v/>
      </c>
      <c r="R153" s="17">
        <f>IF($A153="","",$A153-WEEKDAY($A153,2)+1)</f>
        <v/>
      </c>
    </row>
    <row r="154">
      <c r="A154" s="5" t="n">
        <v>46217</v>
      </c>
      <c r="B154" s="4" t="inlineStr">
        <is>
          <t>North branch</t>
        </is>
      </c>
      <c r="C154" s="4" t="inlineStr">
        <is>
          <t>North 1</t>
        </is>
      </c>
      <c r="D154" s="4" t="inlineStr">
        <is>
          <t>Dr Layla Al Qahtani</t>
        </is>
      </c>
      <c r="E154" s="4" t="inlineStr">
        <is>
          <t>P-3068</t>
        </is>
      </c>
      <c r="F154" s="4" t="inlineStr">
        <is>
          <t>New</t>
        </is>
      </c>
      <c r="G154" s="4" t="inlineStr">
        <is>
          <t>Instagram</t>
        </is>
      </c>
      <c r="H154" s="4" t="inlineStr">
        <is>
          <t>Follow-up visit</t>
        </is>
      </c>
      <c r="I154" s="9">
        <f>IF($H154="","",IFERROR(INDEX('Settings'!$J$10:$J$39,MATCH($H154,'Settings'!$I$10:$I$39,0)),""))</f>
        <v/>
      </c>
      <c r="J154" s="6" t="n">
        <v>1</v>
      </c>
      <c r="K154" s="8" t="n">
        <v>150</v>
      </c>
      <c r="L154" s="8" t="n"/>
      <c r="M154" s="14">
        <f>IF($A154="","",$J154*$K154)</f>
        <v/>
      </c>
      <c r="N154" s="14">
        <f>IF($A154="","",$M154-$L154)</f>
        <v/>
      </c>
      <c r="O154" s="4" t="inlineStr">
        <is>
          <t>Card</t>
        </is>
      </c>
      <c r="P154" s="15">
        <f>IF($A154="","",DATE(YEAR($A154),MONTH($A154),1))</f>
        <v/>
      </c>
      <c r="Q154" s="16">
        <f>IF($H154="","",$J154*IFERROR(INDEX('Settings'!$L$10:$L$39,MATCH($H154,'Settings'!$I$10:$I$39,0)),0))</f>
        <v/>
      </c>
      <c r="R154" s="17">
        <f>IF($A154="","",$A154-WEEKDAY($A154,2)+1)</f>
        <v/>
      </c>
    </row>
    <row r="155">
      <c r="A155" s="5" t="n">
        <v>46217</v>
      </c>
      <c r="B155" s="4" t="inlineStr">
        <is>
          <t>North branch</t>
        </is>
      </c>
      <c r="C155" s="4" t="inlineStr">
        <is>
          <t>North 1</t>
        </is>
      </c>
      <c r="D155" s="4" t="inlineStr">
        <is>
          <t>Dr Khaled Youssef</t>
        </is>
      </c>
      <c r="E155" s="4" t="inlineStr">
        <is>
          <t>P-2446</t>
        </is>
      </c>
      <c r="F155" s="4" t="inlineStr">
        <is>
          <t>New</t>
        </is>
      </c>
      <c r="G155" s="4" t="inlineStr">
        <is>
          <t>WhatsApp</t>
        </is>
      </c>
      <c r="H155" s="4" t="inlineStr">
        <is>
          <t>Botulinum toxin</t>
        </is>
      </c>
      <c r="I155" s="9">
        <f>IF($H155="","",IFERROR(INDEX('Settings'!$J$10:$J$39,MATCH($H155,'Settings'!$I$10:$I$39,0)),""))</f>
        <v/>
      </c>
      <c r="J155" s="6" t="n">
        <v>1</v>
      </c>
      <c r="K155" s="8" t="n">
        <v>1500</v>
      </c>
      <c r="L155" s="8" t="n"/>
      <c r="M155" s="14">
        <f>IF($A155="","",$J155*$K155)</f>
        <v/>
      </c>
      <c r="N155" s="14">
        <f>IF($A155="","",$M155-$L155)</f>
        <v/>
      </c>
      <c r="O155" s="4" t="inlineStr">
        <is>
          <t>Payment link</t>
        </is>
      </c>
      <c r="P155" s="15">
        <f>IF($A155="","",DATE(YEAR($A155),MONTH($A155),1))</f>
        <v/>
      </c>
      <c r="Q155" s="16">
        <f>IF($H155="","",$J155*IFERROR(INDEX('Settings'!$L$10:$L$39,MATCH($H155,'Settings'!$I$10:$I$39,0)),0))</f>
        <v/>
      </c>
      <c r="R155" s="17">
        <f>IF($A155="","",$A155-WEEKDAY($A155,2)+1)</f>
        <v/>
      </c>
    </row>
    <row r="156">
      <c r="A156" s="5" t="n">
        <v>46217</v>
      </c>
      <c r="B156" s="4" t="inlineStr">
        <is>
          <t>North branch</t>
        </is>
      </c>
      <c r="C156" s="4" t="inlineStr">
        <is>
          <t>North 2</t>
        </is>
      </c>
      <c r="D156" s="4" t="inlineStr">
        <is>
          <t>Dr Khaled Youssef</t>
        </is>
      </c>
      <c r="E156" s="4" t="inlineStr">
        <is>
          <t>P-2250</t>
        </is>
      </c>
      <c r="F156" s="4" t="inlineStr">
        <is>
          <t>Returning</t>
        </is>
      </c>
      <c r="G156" s="4" t="inlineStr">
        <is>
          <t>Google</t>
        </is>
      </c>
      <c r="H156" s="4" t="inlineStr">
        <is>
          <t>Physiotherapy session</t>
        </is>
      </c>
      <c r="I156" s="9">
        <f>IF($H156="","",IFERROR(INDEX('Settings'!$J$10:$J$39,MATCH($H156,'Settings'!$I$10:$I$39,0)),""))</f>
        <v/>
      </c>
      <c r="J156" s="6" t="n">
        <v>1</v>
      </c>
      <c r="K156" s="8" t="n">
        <v>300</v>
      </c>
      <c r="L156" s="8" t="n"/>
      <c r="M156" s="14">
        <f>IF($A156="","",$J156*$K156)</f>
        <v/>
      </c>
      <c r="N156" s="14">
        <f>IF($A156="","",$M156-$L156)</f>
        <v/>
      </c>
      <c r="O156" s="4" t="inlineStr">
        <is>
          <t>Card</t>
        </is>
      </c>
      <c r="P156" s="15">
        <f>IF($A156="","",DATE(YEAR($A156),MONTH($A156),1))</f>
        <v/>
      </c>
      <c r="Q156" s="16">
        <f>IF($H156="","",$J156*IFERROR(INDEX('Settings'!$L$10:$L$39,MATCH($H156,'Settings'!$I$10:$I$39,0)),0))</f>
        <v/>
      </c>
      <c r="R156" s="17">
        <f>IF($A156="","",$A156-WEEKDAY($A156,2)+1)</f>
        <v/>
      </c>
    </row>
    <row r="157">
      <c r="A157" s="5" t="n">
        <v>46217</v>
      </c>
      <c r="B157" s="4" t="inlineStr">
        <is>
          <t>North branch</t>
        </is>
      </c>
      <c r="C157" s="4" t="inlineStr">
        <is>
          <t>North 2</t>
        </is>
      </c>
      <c r="D157" s="4" t="inlineStr">
        <is>
          <t>Dr Khaled Youssef</t>
        </is>
      </c>
      <c r="E157" s="4" t="inlineStr">
        <is>
          <t>P-2318</t>
        </is>
      </c>
      <c r="F157" s="4" t="inlineStr">
        <is>
          <t>New</t>
        </is>
      </c>
      <c r="G157" s="4" t="inlineStr">
        <is>
          <t>Google</t>
        </is>
      </c>
      <c r="H157" s="4" t="inlineStr">
        <is>
          <t>Sunscreen cream</t>
        </is>
      </c>
      <c r="I157" s="9">
        <f>IF($H157="","",IFERROR(INDEX('Settings'!$J$10:$J$39,MATCH($H157,'Settings'!$I$10:$I$39,0)),""))</f>
        <v/>
      </c>
      <c r="J157" s="6" t="n">
        <v>1</v>
      </c>
      <c r="K157" s="8" t="n">
        <v>120</v>
      </c>
      <c r="L157" s="8" t="n"/>
      <c r="M157" s="14">
        <f>IF($A157="","",$J157*$K157)</f>
        <v/>
      </c>
      <c r="N157" s="14">
        <f>IF($A157="","",$M157-$L157)</f>
        <v/>
      </c>
      <c r="O157" s="4" t="inlineStr">
        <is>
          <t>Payment link</t>
        </is>
      </c>
      <c r="P157" s="15">
        <f>IF($A157="","",DATE(YEAR($A157),MONTH($A157),1))</f>
        <v/>
      </c>
      <c r="Q157" s="16">
        <f>IF($H157="","",$J157*IFERROR(INDEX('Settings'!$L$10:$L$39,MATCH($H157,'Settings'!$I$10:$I$39,0)),0))</f>
        <v/>
      </c>
      <c r="R157" s="17">
        <f>IF($A157="","",$A157-WEEKDAY($A157,2)+1)</f>
        <v/>
      </c>
    </row>
    <row r="158">
      <c r="A158" s="5" t="n">
        <v>46217</v>
      </c>
      <c r="B158" s="4" t="inlineStr">
        <is>
          <t>North branch</t>
        </is>
      </c>
      <c r="C158" s="4" t="inlineStr">
        <is>
          <t>North 2</t>
        </is>
      </c>
      <c r="D158" s="4" t="inlineStr">
        <is>
          <t>Dr Mohamed Adel</t>
        </is>
      </c>
      <c r="E158" s="4" t="inlineStr">
        <is>
          <t>P-3225</t>
        </is>
      </c>
      <c r="F158" s="4" t="inlineStr">
        <is>
          <t>Returning</t>
        </is>
      </c>
      <c r="G158" s="4" t="inlineStr">
        <is>
          <t>Walk-in</t>
        </is>
      </c>
      <c r="H158" s="4" t="inlineStr">
        <is>
          <t>Physiotherapy session</t>
        </is>
      </c>
      <c r="I158" s="9">
        <f>IF($H158="","",IFERROR(INDEX('Settings'!$J$10:$J$39,MATCH($H158,'Settings'!$I$10:$I$39,0)),""))</f>
        <v/>
      </c>
      <c r="J158" s="6" t="n">
        <v>1</v>
      </c>
      <c r="K158" s="8" t="n">
        <v>300</v>
      </c>
      <c r="L158" s="8" t="n"/>
      <c r="M158" s="14">
        <f>IF($A158="","",$J158*$K158)</f>
        <v/>
      </c>
      <c r="N158" s="14">
        <f>IF($A158="","",$M158-$L158)</f>
        <v/>
      </c>
      <c r="O158" s="4" t="inlineStr">
        <is>
          <t>Insurance</t>
        </is>
      </c>
      <c r="P158" s="15">
        <f>IF($A158="","",DATE(YEAR($A158),MONTH($A158),1))</f>
        <v/>
      </c>
      <c r="Q158" s="16">
        <f>IF($H158="","",$J158*IFERROR(INDEX('Settings'!$L$10:$L$39,MATCH($H158,'Settings'!$I$10:$I$39,0)),0))</f>
        <v/>
      </c>
      <c r="R158" s="17">
        <f>IF($A158="","",$A158-WEEKDAY($A158,2)+1)</f>
        <v/>
      </c>
    </row>
    <row r="159">
      <c r="A159" s="5" t="n">
        <v>46218</v>
      </c>
      <c r="B159" s="4" t="inlineStr">
        <is>
          <t>Main branch</t>
        </is>
      </c>
      <c r="C159" s="4" t="inlineStr">
        <is>
          <t>Main 1</t>
        </is>
      </c>
      <c r="D159" s="4" t="inlineStr">
        <is>
          <t>Dr Sara Al Harbi</t>
        </is>
      </c>
      <c r="E159" s="4" t="inlineStr">
        <is>
          <t>P-3331</t>
        </is>
      </c>
      <c r="F159" s="4" t="inlineStr">
        <is>
          <t>Returning</t>
        </is>
      </c>
      <c r="G159" s="4" t="inlineStr">
        <is>
          <t>Instagram</t>
        </is>
      </c>
      <c r="H159" s="4" t="inlineStr">
        <is>
          <t>Laser session, body</t>
        </is>
      </c>
      <c r="I159" s="9">
        <f>IF($H159="","",IFERROR(INDEX('Settings'!$J$10:$J$39,MATCH($H159,'Settings'!$I$10:$I$39,0)),""))</f>
        <v/>
      </c>
      <c r="J159" s="6" t="n">
        <v>1</v>
      </c>
      <c r="K159" s="8" t="n">
        <v>1200</v>
      </c>
      <c r="L159" s="8" t="n"/>
      <c r="M159" s="14">
        <f>IF($A159="","",$J159*$K159)</f>
        <v/>
      </c>
      <c r="N159" s="14">
        <f>IF($A159="","",$M159-$L159)</f>
        <v/>
      </c>
      <c r="O159" s="4" t="inlineStr">
        <is>
          <t>Card</t>
        </is>
      </c>
      <c r="P159" s="15">
        <f>IF($A159="","",DATE(YEAR($A159),MONTH($A159),1))</f>
        <v/>
      </c>
      <c r="Q159" s="16">
        <f>IF($H159="","",$J159*IFERROR(INDEX('Settings'!$L$10:$L$39,MATCH($H159,'Settings'!$I$10:$I$39,0)),0))</f>
        <v/>
      </c>
      <c r="R159" s="17">
        <f>IF($A159="","",$A159-WEEKDAY($A159,2)+1)</f>
        <v/>
      </c>
    </row>
    <row r="160">
      <c r="A160" s="5" t="n">
        <v>46218</v>
      </c>
      <c r="B160" s="4" t="inlineStr">
        <is>
          <t>Main branch</t>
        </is>
      </c>
      <c r="C160" s="4" t="inlineStr">
        <is>
          <t>Main 1</t>
        </is>
      </c>
      <c r="D160" s="4" t="inlineStr">
        <is>
          <t>Dr Noura Al Subaie</t>
        </is>
      </c>
      <c r="E160" s="4" t="inlineStr">
        <is>
          <t>P-2444</t>
        </is>
      </c>
      <c r="F160" s="4" t="inlineStr">
        <is>
          <t>Returning</t>
        </is>
      </c>
      <c r="G160" s="4" t="inlineStr">
        <is>
          <t>Instagram</t>
        </is>
      </c>
      <c r="H160" s="4" t="inlineStr">
        <is>
          <t>Laser session, body</t>
        </is>
      </c>
      <c r="I160" s="9">
        <f>IF($H160="","",IFERROR(INDEX('Settings'!$J$10:$J$39,MATCH($H160,'Settings'!$I$10:$I$39,0)),""))</f>
        <v/>
      </c>
      <c r="J160" s="6" t="n">
        <v>1</v>
      </c>
      <c r="K160" s="8" t="n">
        <v>1200</v>
      </c>
      <c r="L160" s="8" t="n"/>
      <c r="M160" s="14">
        <f>IF($A160="","",$J160*$K160)</f>
        <v/>
      </c>
      <c r="N160" s="14">
        <f>IF($A160="","",$M160-$L160)</f>
        <v/>
      </c>
      <c r="O160" s="4" t="inlineStr">
        <is>
          <t>Payment link</t>
        </is>
      </c>
      <c r="P160" s="15">
        <f>IF($A160="","",DATE(YEAR($A160),MONTH($A160),1))</f>
        <v/>
      </c>
      <c r="Q160" s="16">
        <f>IF($H160="","",$J160*IFERROR(INDEX('Settings'!$L$10:$L$39,MATCH($H160,'Settings'!$I$10:$I$39,0)),0))</f>
        <v/>
      </c>
      <c r="R160" s="17">
        <f>IF($A160="","",$A160-WEEKDAY($A160,2)+1)</f>
        <v/>
      </c>
    </row>
    <row r="161">
      <c r="A161" s="5" t="n">
        <v>46218</v>
      </c>
      <c r="B161" s="4" t="inlineStr">
        <is>
          <t>Main branch</t>
        </is>
      </c>
      <c r="C161" s="4" t="inlineStr">
        <is>
          <t>Main 2</t>
        </is>
      </c>
      <c r="D161" s="4" t="inlineStr">
        <is>
          <t>Dr Ahmed Mansour</t>
        </is>
      </c>
      <c r="E161" s="4" t="inlineStr">
        <is>
          <t>P-2612</t>
        </is>
      </c>
      <c r="F161" s="4" t="inlineStr">
        <is>
          <t>Returning</t>
        </is>
      </c>
      <c r="G161" s="4" t="inlineStr">
        <is>
          <t>Walk-in</t>
        </is>
      </c>
      <c r="H161" s="4" t="inlineStr">
        <is>
          <t>Specialist consultation</t>
        </is>
      </c>
      <c r="I161" s="9">
        <f>IF($H161="","",IFERROR(INDEX('Settings'!$J$10:$J$39,MATCH($H161,'Settings'!$I$10:$I$39,0)),""))</f>
        <v/>
      </c>
      <c r="J161" s="6" t="n">
        <v>1</v>
      </c>
      <c r="K161" s="8" t="n">
        <v>350</v>
      </c>
      <c r="L161" s="8" t="n"/>
      <c r="M161" s="14">
        <f>IF($A161="","",$J161*$K161)</f>
        <v/>
      </c>
      <c r="N161" s="14">
        <f>IF($A161="","",$M161-$L161)</f>
        <v/>
      </c>
      <c r="O161" s="4" t="inlineStr">
        <is>
          <t>Transfer</t>
        </is>
      </c>
      <c r="P161" s="15">
        <f>IF($A161="","",DATE(YEAR($A161),MONTH($A161),1))</f>
        <v/>
      </c>
      <c r="Q161" s="16">
        <f>IF($H161="","",$J161*IFERROR(INDEX('Settings'!$L$10:$L$39,MATCH($H161,'Settings'!$I$10:$I$39,0)),0))</f>
        <v/>
      </c>
      <c r="R161" s="17">
        <f>IF($A161="","",$A161-WEEKDAY($A161,2)+1)</f>
        <v/>
      </c>
    </row>
    <row r="162">
      <c r="A162" s="5" t="n">
        <v>46218</v>
      </c>
      <c r="B162" s="4" t="inlineStr">
        <is>
          <t>Main branch</t>
        </is>
      </c>
      <c r="C162" s="4" t="inlineStr">
        <is>
          <t>Main 3</t>
        </is>
      </c>
      <c r="D162" s="4" t="inlineStr">
        <is>
          <t>Dr Ahmed Mansour</t>
        </is>
      </c>
      <c r="E162" s="4" t="inlineStr">
        <is>
          <t>P-2153</t>
        </is>
      </c>
      <c r="F162" s="4" t="inlineStr">
        <is>
          <t>New</t>
        </is>
      </c>
      <c r="G162" s="4" t="inlineStr">
        <is>
          <t>Walk-in</t>
        </is>
      </c>
      <c r="H162" s="4" t="inlineStr">
        <is>
          <t>Vitamin C serum</t>
        </is>
      </c>
      <c r="I162" s="9">
        <f>IF($H162="","",IFERROR(INDEX('Settings'!$J$10:$J$39,MATCH($H162,'Settings'!$I$10:$I$39,0)),""))</f>
        <v/>
      </c>
      <c r="J162" s="6" t="n">
        <v>1</v>
      </c>
      <c r="K162" s="8" t="n">
        <v>220</v>
      </c>
      <c r="L162" s="8" t="n"/>
      <c r="M162" s="14">
        <f>IF($A162="","",$J162*$K162)</f>
        <v/>
      </c>
      <c r="N162" s="14">
        <f>IF($A162="","",$M162-$L162)</f>
        <v/>
      </c>
      <c r="O162" s="4" t="inlineStr">
        <is>
          <t>Card</t>
        </is>
      </c>
      <c r="P162" s="15">
        <f>IF($A162="","",DATE(YEAR($A162),MONTH($A162),1))</f>
        <v/>
      </c>
      <c r="Q162" s="16">
        <f>IF($H162="","",$J162*IFERROR(INDEX('Settings'!$L$10:$L$39,MATCH($H162,'Settings'!$I$10:$I$39,0)),0))</f>
        <v/>
      </c>
      <c r="R162" s="17">
        <f>IF($A162="","",$A162-WEEKDAY($A162,2)+1)</f>
        <v/>
      </c>
    </row>
    <row r="163">
      <c r="A163" s="5" t="n">
        <v>46218</v>
      </c>
      <c r="B163" s="4" t="inlineStr">
        <is>
          <t>Main branch</t>
        </is>
      </c>
      <c r="C163" s="4" t="inlineStr">
        <is>
          <t>Main 4</t>
        </is>
      </c>
      <c r="D163" s="4" t="inlineStr">
        <is>
          <t>Dr Ahmed Mansour</t>
        </is>
      </c>
      <c r="E163" s="4" t="inlineStr">
        <is>
          <t>P-2301</t>
        </is>
      </c>
      <c r="F163" s="4" t="inlineStr">
        <is>
          <t>New</t>
        </is>
      </c>
      <c r="G163" s="4" t="inlineStr">
        <is>
          <t>Walk-in</t>
        </is>
      </c>
      <c r="H163" s="4" t="inlineStr">
        <is>
          <t>Follow-up visit</t>
        </is>
      </c>
      <c r="I163" s="9">
        <f>IF($H163="","",IFERROR(INDEX('Settings'!$J$10:$J$39,MATCH($H163,'Settings'!$I$10:$I$39,0)),""))</f>
        <v/>
      </c>
      <c r="J163" s="6" t="n">
        <v>1</v>
      </c>
      <c r="K163" s="8" t="n">
        <v>150</v>
      </c>
      <c r="L163" s="8" t="n"/>
      <c r="M163" s="14">
        <f>IF($A163="","",$J163*$K163)</f>
        <v/>
      </c>
      <c r="N163" s="14">
        <f>IF($A163="","",$M163-$L163)</f>
        <v/>
      </c>
      <c r="O163" s="4" t="inlineStr">
        <is>
          <t>Cash</t>
        </is>
      </c>
      <c r="P163" s="15">
        <f>IF($A163="","",DATE(YEAR($A163),MONTH($A163),1))</f>
        <v/>
      </c>
      <c r="Q163" s="16">
        <f>IF($H163="","",$J163*IFERROR(INDEX('Settings'!$L$10:$L$39,MATCH($H163,'Settings'!$I$10:$I$39,0)),0))</f>
        <v/>
      </c>
      <c r="R163" s="17">
        <f>IF($A163="","",$A163-WEEKDAY($A163,2)+1)</f>
        <v/>
      </c>
    </row>
    <row r="164">
      <c r="A164" s="5" t="n">
        <v>46218</v>
      </c>
      <c r="B164" s="4" t="inlineStr">
        <is>
          <t>North branch</t>
        </is>
      </c>
      <c r="C164" s="4" t="inlineStr">
        <is>
          <t>North 1</t>
        </is>
      </c>
      <c r="D164" s="4" t="inlineStr">
        <is>
          <t>Dr Layla Al Qahtani</t>
        </is>
      </c>
      <c r="E164" s="4" t="inlineStr">
        <is>
          <t>P-2695</t>
        </is>
      </c>
      <c r="F164" s="4" t="inlineStr">
        <is>
          <t>New</t>
        </is>
      </c>
      <c r="G164" s="4" t="inlineStr">
        <is>
          <t>Google</t>
        </is>
      </c>
      <c r="H164" s="4" t="inlineStr">
        <is>
          <t>Laser session, face</t>
        </is>
      </c>
      <c r="I164" s="9">
        <f>IF($H164="","",IFERROR(INDEX('Settings'!$J$10:$J$39,MATCH($H164,'Settings'!$I$10:$I$39,0)),""))</f>
        <v/>
      </c>
      <c r="J164" s="6" t="n">
        <v>1</v>
      </c>
      <c r="K164" s="8" t="n">
        <v>600</v>
      </c>
      <c r="L164" s="8" t="n">
        <v>30</v>
      </c>
      <c r="M164" s="14">
        <f>IF($A164="","",$J164*$K164)</f>
        <v/>
      </c>
      <c r="N164" s="14">
        <f>IF($A164="","",$M164-$L164)</f>
        <v/>
      </c>
      <c r="O164" s="4" t="inlineStr">
        <is>
          <t>Payment link</t>
        </is>
      </c>
      <c r="P164" s="15">
        <f>IF($A164="","",DATE(YEAR($A164),MONTH($A164),1))</f>
        <v/>
      </c>
      <c r="Q164" s="16">
        <f>IF($H164="","",$J164*IFERROR(INDEX('Settings'!$L$10:$L$39,MATCH($H164,'Settings'!$I$10:$I$39,0)),0))</f>
        <v/>
      </c>
      <c r="R164" s="17">
        <f>IF($A164="","",$A164-WEEKDAY($A164,2)+1)</f>
        <v/>
      </c>
    </row>
    <row r="165">
      <c r="A165" s="5" t="n">
        <v>46218</v>
      </c>
      <c r="B165" s="4" t="inlineStr">
        <is>
          <t>North branch</t>
        </is>
      </c>
      <c r="C165" s="4" t="inlineStr">
        <is>
          <t>North 1</t>
        </is>
      </c>
      <c r="D165" s="4" t="inlineStr">
        <is>
          <t>Dr Layla Al Qahtani</t>
        </is>
      </c>
      <c r="E165" s="4" t="inlineStr">
        <is>
          <t>P-2154</t>
        </is>
      </c>
      <c r="F165" s="4" t="inlineStr">
        <is>
          <t>New</t>
        </is>
      </c>
      <c r="G165" s="4" t="inlineStr">
        <is>
          <t>Instagram</t>
        </is>
      </c>
      <c r="H165" s="4" t="inlineStr">
        <is>
          <t>Skin tag removal</t>
        </is>
      </c>
      <c r="I165" s="9">
        <f>IF($H165="","",IFERROR(INDEX('Settings'!$J$10:$J$39,MATCH($H165,'Settings'!$I$10:$I$39,0)),""))</f>
        <v/>
      </c>
      <c r="J165" s="6" t="n">
        <v>1</v>
      </c>
      <c r="K165" s="8" t="n">
        <v>500</v>
      </c>
      <c r="L165" s="8" t="n">
        <v>50</v>
      </c>
      <c r="M165" s="14">
        <f>IF($A165="","",$J165*$K165)</f>
        <v/>
      </c>
      <c r="N165" s="14">
        <f>IF($A165="","",$M165-$L165)</f>
        <v/>
      </c>
      <c r="O165" s="4" t="inlineStr">
        <is>
          <t>Payment link</t>
        </is>
      </c>
      <c r="P165" s="15">
        <f>IF($A165="","",DATE(YEAR($A165),MONTH($A165),1))</f>
        <v/>
      </c>
      <c r="Q165" s="16">
        <f>IF($H165="","",$J165*IFERROR(INDEX('Settings'!$L$10:$L$39,MATCH($H165,'Settings'!$I$10:$I$39,0)),0))</f>
        <v/>
      </c>
      <c r="R165" s="17">
        <f>IF($A165="","",$A165-WEEKDAY($A165,2)+1)</f>
        <v/>
      </c>
    </row>
    <row r="166">
      <c r="A166" s="5" t="n">
        <v>46218</v>
      </c>
      <c r="B166" s="4" t="inlineStr">
        <is>
          <t>North branch</t>
        </is>
      </c>
      <c r="C166" s="4" t="inlineStr">
        <is>
          <t>North 2</t>
        </is>
      </c>
      <c r="D166" s="4" t="inlineStr">
        <is>
          <t>Dr Mohamed Adel</t>
        </is>
      </c>
      <c r="E166" s="4" t="inlineStr">
        <is>
          <t>P-2747</t>
        </is>
      </c>
      <c r="F166" s="4" t="inlineStr">
        <is>
          <t>Returning</t>
        </is>
      </c>
      <c r="G166" s="4" t="inlineStr">
        <is>
          <t>Referral</t>
        </is>
      </c>
      <c r="H166" s="4" t="inlineStr">
        <is>
          <t>Laser session, face</t>
        </is>
      </c>
      <c r="I166" s="9">
        <f>IF($H166="","",IFERROR(INDEX('Settings'!$J$10:$J$39,MATCH($H166,'Settings'!$I$10:$I$39,0)),""))</f>
        <v/>
      </c>
      <c r="J166" s="6" t="n">
        <v>1</v>
      </c>
      <c r="K166" s="8" t="n">
        <v>600</v>
      </c>
      <c r="L166" s="8" t="n"/>
      <c r="M166" s="14">
        <f>IF($A166="","",$J166*$K166)</f>
        <v/>
      </c>
      <c r="N166" s="14">
        <f>IF($A166="","",$M166-$L166)</f>
        <v/>
      </c>
      <c r="O166" s="4" t="inlineStr">
        <is>
          <t>Cash</t>
        </is>
      </c>
      <c r="P166" s="15">
        <f>IF($A166="","",DATE(YEAR($A166),MONTH($A166),1))</f>
        <v/>
      </c>
      <c r="Q166" s="16">
        <f>IF($H166="","",$J166*IFERROR(INDEX('Settings'!$L$10:$L$39,MATCH($H166,'Settings'!$I$10:$I$39,0)),0))</f>
        <v/>
      </c>
      <c r="R166" s="17">
        <f>IF($A166="","",$A166-WEEKDAY($A166,2)+1)</f>
        <v/>
      </c>
    </row>
    <row r="167">
      <c r="A167" s="5" t="n">
        <v>46218</v>
      </c>
      <c r="B167" s="4" t="inlineStr">
        <is>
          <t>North branch</t>
        </is>
      </c>
      <c r="C167" s="4" t="inlineStr">
        <is>
          <t>North 2</t>
        </is>
      </c>
      <c r="D167" s="4" t="inlineStr">
        <is>
          <t>Dr Khaled Youssef</t>
        </is>
      </c>
      <c r="E167" s="4" t="inlineStr">
        <is>
          <t>P-2885</t>
        </is>
      </c>
      <c r="F167" s="4" t="inlineStr">
        <is>
          <t>Returning</t>
        </is>
      </c>
      <c r="G167" s="4" t="inlineStr">
        <is>
          <t>WhatsApp</t>
        </is>
      </c>
      <c r="H167" s="4" t="inlineStr">
        <is>
          <t>Follow-up visit</t>
        </is>
      </c>
      <c r="I167" s="9">
        <f>IF($H167="","",IFERROR(INDEX('Settings'!$J$10:$J$39,MATCH($H167,'Settings'!$I$10:$I$39,0)),""))</f>
        <v/>
      </c>
      <c r="J167" s="6" t="n">
        <v>1</v>
      </c>
      <c r="K167" s="8" t="n">
        <v>150</v>
      </c>
      <c r="L167" s="8" t="n"/>
      <c r="M167" s="14">
        <f>IF($A167="","",$J167*$K167)</f>
        <v/>
      </c>
      <c r="N167" s="14">
        <f>IF($A167="","",$M167-$L167)</f>
        <v/>
      </c>
      <c r="O167" s="4" t="inlineStr">
        <is>
          <t>Cash</t>
        </is>
      </c>
      <c r="P167" s="15">
        <f>IF($A167="","",DATE(YEAR($A167),MONTH($A167),1))</f>
        <v/>
      </c>
      <c r="Q167" s="16">
        <f>IF($H167="","",$J167*IFERROR(INDEX('Settings'!$L$10:$L$39,MATCH($H167,'Settings'!$I$10:$I$39,0)),0))</f>
        <v/>
      </c>
      <c r="R167" s="17">
        <f>IF($A167="","",$A167-WEEKDAY($A167,2)+1)</f>
        <v/>
      </c>
    </row>
    <row r="168">
      <c r="A168" s="5" t="n">
        <v>46218</v>
      </c>
      <c r="B168" s="4" t="inlineStr">
        <is>
          <t>North branch</t>
        </is>
      </c>
      <c r="C168" s="4" t="inlineStr">
        <is>
          <t>North 2</t>
        </is>
      </c>
      <c r="D168" s="4" t="inlineStr">
        <is>
          <t>Dr Khaled Youssef</t>
        </is>
      </c>
      <c r="E168" s="4" t="inlineStr">
        <is>
          <t>P-3278</t>
        </is>
      </c>
      <c r="F168" s="4" t="inlineStr">
        <is>
          <t>Returning</t>
        </is>
      </c>
      <c r="G168" s="4" t="inlineStr">
        <is>
          <t>Referral</t>
        </is>
      </c>
      <c r="H168" s="4" t="inlineStr">
        <is>
          <t>Facial cleansing</t>
        </is>
      </c>
      <c r="I168" s="9">
        <f>IF($H168="","",IFERROR(INDEX('Settings'!$J$10:$J$39,MATCH($H168,'Settings'!$I$10:$I$39,0)),""))</f>
        <v/>
      </c>
      <c r="J168" s="6" t="n">
        <v>1</v>
      </c>
      <c r="K168" s="8" t="n">
        <v>400</v>
      </c>
      <c r="L168" s="8" t="n">
        <v>40</v>
      </c>
      <c r="M168" s="14">
        <f>IF($A168="","",$J168*$K168)</f>
        <v/>
      </c>
      <c r="N168" s="14">
        <f>IF($A168="","",$M168-$L168)</f>
        <v/>
      </c>
      <c r="O168" s="4" t="inlineStr">
        <is>
          <t>Card</t>
        </is>
      </c>
      <c r="P168" s="15">
        <f>IF($A168="","",DATE(YEAR($A168),MONTH($A168),1))</f>
        <v/>
      </c>
      <c r="Q168" s="16">
        <f>IF($H168="","",$J168*IFERROR(INDEX('Settings'!$L$10:$L$39,MATCH($H168,'Settings'!$I$10:$I$39,0)),0))</f>
        <v/>
      </c>
      <c r="R168" s="17">
        <f>IF($A168="","",$A168-WEEKDAY($A168,2)+1)</f>
        <v/>
      </c>
    </row>
    <row r="169">
      <c r="A169" s="5" t="n">
        <v>46219</v>
      </c>
      <c r="B169" s="4" t="inlineStr">
        <is>
          <t>Main branch</t>
        </is>
      </c>
      <c r="C169" s="4" t="inlineStr">
        <is>
          <t>Main 1</t>
        </is>
      </c>
      <c r="D169" s="4" t="inlineStr">
        <is>
          <t>Dr Ahmed Mansour</t>
        </is>
      </c>
      <c r="E169" s="4" t="inlineStr">
        <is>
          <t>P-3465</t>
        </is>
      </c>
      <c r="F169" s="4" t="inlineStr">
        <is>
          <t>New</t>
        </is>
      </c>
      <c r="G169" s="4" t="inlineStr">
        <is>
          <t>Referral</t>
        </is>
      </c>
      <c r="H169" s="4" t="inlineStr">
        <is>
          <t>Facial cleansing</t>
        </is>
      </c>
      <c r="I169" s="9">
        <f>IF($H169="","",IFERROR(INDEX('Settings'!$J$10:$J$39,MATCH($H169,'Settings'!$I$10:$I$39,0)),""))</f>
        <v/>
      </c>
      <c r="J169" s="6" t="n">
        <v>1</v>
      </c>
      <c r="K169" s="8" t="n">
        <v>400</v>
      </c>
      <c r="L169" s="8" t="n"/>
      <c r="M169" s="14">
        <f>IF($A169="","",$J169*$K169)</f>
        <v/>
      </c>
      <c r="N169" s="14">
        <f>IF($A169="","",$M169-$L169)</f>
        <v/>
      </c>
      <c r="O169" s="4" t="inlineStr">
        <is>
          <t>Payment link</t>
        </is>
      </c>
      <c r="P169" s="15">
        <f>IF($A169="","",DATE(YEAR($A169),MONTH($A169),1))</f>
        <v/>
      </c>
      <c r="Q169" s="16">
        <f>IF($H169="","",$J169*IFERROR(INDEX('Settings'!$L$10:$L$39,MATCH($H169,'Settings'!$I$10:$I$39,0)),0))</f>
        <v/>
      </c>
      <c r="R169" s="17">
        <f>IF($A169="","",$A169-WEEKDAY($A169,2)+1)</f>
        <v/>
      </c>
    </row>
    <row r="170">
      <c r="A170" s="5" t="n">
        <v>46219</v>
      </c>
      <c r="B170" s="4" t="inlineStr">
        <is>
          <t>Main branch</t>
        </is>
      </c>
      <c r="C170" s="4" t="inlineStr">
        <is>
          <t>Main 1</t>
        </is>
      </c>
      <c r="D170" s="4" t="inlineStr">
        <is>
          <t>Dr Noura Al Subaie</t>
        </is>
      </c>
      <c r="E170" s="4" t="inlineStr">
        <is>
          <t>P-2742</t>
        </is>
      </c>
      <c r="F170" s="4" t="inlineStr">
        <is>
          <t>Returning</t>
        </is>
      </c>
      <c r="G170" s="4" t="inlineStr">
        <is>
          <t>Walk-in</t>
        </is>
      </c>
      <c r="H170" s="4" t="inlineStr">
        <is>
          <t>Specialist consultation</t>
        </is>
      </c>
      <c r="I170" s="9">
        <f>IF($H170="","",IFERROR(INDEX('Settings'!$J$10:$J$39,MATCH($H170,'Settings'!$I$10:$I$39,0)),""))</f>
        <v/>
      </c>
      <c r="J170" s="6" t="n">
        <v>1</v>
      </c>
      <c r="K170" s="8" t="n">
        <v>350</v>
      </c>
      <c r="L170" s="8" t="n"/>
      <c r="M170" s="14">
        <f>IF($A170="","",$J170*$K170)</f>
        <v/>
      </c>
      <c r="N170" s="14">
        <f>IF($A170="","",$M170-$L170)</f>
        <v/>
      </c>
      <c r="O170" s="4" t="inlineStr">
        <is>
          <t>Transfer</t>
        </is>
      </c>
      <c r="P170" s="15">
        <f>IF($A170="","",DATE(YEAR($A170),MONTH($A170),1))</f>
        <v/>
      </c>
      <c r="Q170" s="16">
        <f>IF($H170="","",$J170*IFERROR(INDEX('Settings'!$L$10:$L$39,MATCH($H170,'Settings'!$I$10:$I$39,0)),0))</f>
        <v/>
      </c>
      <c r="R170" s="17">
        <f>IF($A170="","",$A170-WEEKDAY($A170,2)+1)</f>
        <v/>
      </c>
    </row>
    <row r="171">
      <c r="A171" s="5" t="n">
        <v>46219</v>
      </c>
      <c r="B171" s="4" t="inlineStr">
        <is>
          <t>Main branch</t>
        </is>
      </c>
      <c r="C171" s="4" t="inlineStr">
        <is>
          <t>Main 1</t>
        </is>
      </c>
      <c r="D171" s="4" t="inlineStr">
        <is>
          <t>Dr Noura Al Subaie</t>
        </is>
      </c>
      <c r="E171" s="4" t="inlineStr">
        <is>
          <t>P-3267</t>
        </is>
      </c>
      <c r="F171" s="4" t="inlineStr">
        <is>
          <t>Returning</t>
        </is>
      </c>
      <c r="G171" s="4" t="inlineStr">
        <is>
          <t>Referral</t>
        </is>
      </c>
      <c r="H171" s="4" t="inlineStr">
        <is>
          <t>Sunscreen cream</t>
        </is>
      </c>
      <c r="I171" s="9">
        <f>IF($H171="","",IFERROR(INDEX('Settings'!$J$10:$J$39,MATCH($H171,'Settings'!$I$10:$I$39,0)),""))</f>
        <v/>
      </c>
      <c r="J171" s="6" t="n">
        <v>2</v>
      </c>
      <c r="K171" s="8" t="n">
        <v>120</v>
      </c>
      <c r="L171" s="8" t="n"/>
      <c r="M171" s="14">
        <f>IF($A171="","",$J171*$K171)</f>
        <v/>
      </c>
      <c r="N171" s="14">
        <f>IF($A171="","",$M171-$L171)</f>
        <v/>
      </c>
      <c r="O171" s="4" t="inlineStr">
        <is>
          <t>Cash</t>
        </is>
      </c>
      <c r="P171" s="15">
        <f>IF($A171="","",DATE(YEAR($A171),MONTH($A171),1))</f>
        <v/>
      </c>
      <c r="Q171" s="16">
        <f>IF($H171="","",$J171*IFERROR(INDEX('Settings'!$L$10:$L$39,MATCH($H171,'Settings'!$I$10:$I$39,0)),0))</f>
        <v/>
      </c>
      <c r="R171" s="17">
        <f>IF($A171="","",$A171-WEEKDAY($A171,2)+1)</f>
        <v/>
      </c>
    </row>
    <row r="172">
      <c r="A172" s="5" t="n">
        <v>46219</v>
      </c>
      <c r="B172" s="4" t="inlineStr">
        <is>
          <t>Main branch</t>
        </is>
      </c>
      <c r="C172" s="4" t="inlineStr">
        <is>
          <t>Main 2</t>
        </is>
      </c>
      <c r="D172" s="4" t="inlineStr">
        <is>
          <t>Dr Sara Al Harbi</t>
        </is>
      </c>
      <c r="E172" s="4" t="inlineStr">
        <is>
          <t>P-2390</t>
        </is>
      </c>
      <c r="F172" s="4" t="inlineStr">
        <is>
          <t>Returning</t>
        </is>
      </c>
      <c r="G172" s="4" t="inlineStr">
        <is>
          <t>Instagram</t>
        </is>
      </c>
      <c r="H172" s="4" t="inlineStr">
        <is>
          <t>Laser session, body</t>
        </is>
      </c>
      <c r="I172" s="9">
        <f>IF($H172="","",IFERROR(INDEX('Settings'!$J$10:$J$39,MATCH($H172,'Settings'!$I$10:$I$39,0)),""))</f>
        <v/>
      </c>
      <c r="J172" s="6" t="n">
        <v>1</v>
      </c>
      <c r="K172" s="8" t="n">
        <v>1200</v>
      </c>
      <c r="L172" s="8" t="n"/>
      <c r="M172" s="14">
        <f>IF($A172="","",$J172*$K172)</f>
        <v/>
      </c>
      <c r="N172" s="14">
        <f>IF($A172="","",$M172-$L172)</f>
        <v/>
      </c>
      <c r="O172" s="4" t="inlineStr">
        <is>
          <t>Card</t>
        </is>
      </c>
      <c r="P172" s="15">
        <f>IF($A172="","",DATE(YEAR($A172),MONTH($A172),1))</f>
        <v/>
      </c>
      <c r="Q172" s="16">
        <f>IF($H172="","",$J172*IFERROR(INDEX('Settings'!$L$10:$L$39,MATCH($H172,'Settings'!$I$10:$I$39,0)),0))</f>
        <v/>
      </c>
      <c r="R172" s="17">
        <f>IF($A172="","",$A172-WEEKDAY($A172,2)+1)</f>
        <v/>
      </c>
    </row>
    <row r="173">
      <c r="A173" s="5" t="n">
        <v>46219</v>
      </c>
      <c r="B173" s="4" t="inlineStr">
        <is>
          <t>Main branch</t>
        </is>
      </c>
      <c r="C173" s="4" t="inlineStr">
        <is>
          <t>Main 2</t>
        </is>
      </c>
      <c r="D173" s="4" t="inlineStr">
        <is>
          <t>Dr Ahmed Mansour</t>
        </is>
      </c>
      <c r="E173" s="4" t="inlineStr">
        <is>
          <t>P-2313</t>
        </is>
      </c>
      <c r="F173" s="4" t="inlineStr">
        <is>
          <t>Returning</t>
        </is>
      </c>
      <c r="G173" s="4" t="inlineStr">
        <is>
          <t>Walk-in</t>
        </is>
      </c>
      <c r="H173" s="4" t="inlineStr">
        <is>
          <t>Laser session, face</t>
        </is>
      </c>
      <c r="I173" s="9">
        <f>IF($H173="","",IFERROR(INDEX('Settings'!$J$10:$J$39,MATCH($H173,'Settings'!$I$10:$I$39,0)),""))</f>
        <v/>
      </c>
      <c r="J173" s="6" t="n">
        <v>1</v>
      </c>
      <c r="K173" s="8" t="n">
        <v>600</v>
      </c>
      <c r="L173" s="8" t="n"/>
      <c r="M173" s="14">
        <f>IF($A173="","",$J173*$K173)</f>
        <v/>
      </c>
      <c r="N173" s="14">
        <f>IF($A173="","",$M173-$L173)</f>
        <v/>
      </c>
      <c r="O173" s="4" t="inlineStr">
        <is>
          <t>Cash</t>
        </is>
      </c>
      <c r="P173" s="15">
        <f>IF($A173="","",DATE(YEAR($A173),MONTH($A173),1))</f>
        <v/>
      </c>
      <c r="Q173" s="16">
        <f>IF($H173="","",$J173*IFERROR(INDEX('Settings'!$L$10:$L$39,MATCH($H173,'Settings'!$I$10:$I$39,0)),0))</f>
        <v/>
      </c>
      <c r="R173" s="17">
        <f>IF($A173="","",$A173-WEEKDAY($A173,2)+1)</f>
        <v/>
      </c>
    </row>
    <row r="174">
      <c r="A174" s="5" t="n">
        <v>46219</v>
      </c>
      <c r="B174" s="4" t="inlineStr">
        <is>
          <t>Main branch</t>
        </is>
      </c>
      <c r="C174" s="4" t="inlineStr">
        <is>
          <t>Main 3</t>
        </is>
      </c>
      <c r="D174" s="4" t="inlineStr">
        <is>
          <t>Dr Noura Al Subaie</t>
        </is>
      </c>
      <c r="E174" s="4" t="inlineStr">
        <is>
          <t>P-2225</t>
        </is>
      </c>
      <c r="F174" s="4" t="inlineStr">
        <is>
          <t>Returning</t>
        </is>
      </c>
      <c r="G174" s="4" t="inlineStr">
        <is>
          <t>Google</t>
        </is>
      </c>
      <c r="H174" s="4" t="inlineStr">
        <is>
          <t>Physiotherapy session</t>
        </is>
      </c>
      <c r="I174" s="9">
        <f>IF($H174="","",IFERROR(INDEX('Settings'!$J$10:$J$39,MATCH($H174,'Settings'!$I$10:$I$39,0)),""))</f>
        <v/>
      </c>
      <c r="J174" s="6" t="n">
        <v>1</v>
      </c>
      <c r="K174" s="8" t="n">
        <v>300</v>
      </c>
      <c r="L174" s="8" t="n"/>
      <c r="M174" s="14">
        <f>IF($A174="","",$J174*$K174)</f>
        <v/>
      </c>
      <c r="N174" s="14">
        <f>IF($A174="","",$M174-$L174)</f>
        <v/>
      </c>
      <c r="O174" s="4" t="inlineStr">
        <is>
          <t>Insurance</t>
        </is>
      </c>
      <c r="P174" s="15">
        <f>IF($A174="","",DATE(YEAR($A174),MONTH($A174),1))</f>
        <v/>
      </c>
      <c r="Q174" s="16">
        <f>IF($H174="","",$J174*IFERROR(INDEX('Settings'!$L$10:$L$39,MATCH($H174,'Settings'!$I$10:$I$39,0)),0))</f>
        <v/>
      </c>
      <c r="R174" s="17">
        <f>IF($A174="","",$A174-WEEKDAY($A174,2)+1)</f>
        <v/>
      </c>
    </row>
    <row r="175">
      <c r="A175" s="5" t="n">
        <v>46219</v>
      </c>
      <c r="B175" s="4" t="inlineStr">
        <is>
          <t>Main branch</t>
        </is>
      </c>
      <c r="C175" s="4" t="inlineStr">
        <is>
          <t>Main 3</t>
        </is>
      </c>
      <c r="D175" s="4" t="inlineStr">
        <is>
          <t>Dr Ahmed Mansour</t>
        </is>
      </c>
      <c r="E175" s="4" t="inlineStr">
        <is>
          <t>P-2376</t>
        </is>
      </c>
      <c r="F175" s="4" t="inlineStr">
        <is>
          <t>New</t>
        </is>
      </c>
      <c r="G175" s="4" t="inlineStr">
        <is>
          <t>WhatsApp</t>
        </is>
      </c>
      <c r="H175" s="4" t="inlineStr">
        <is>
          <t>Laser session, face</t>
        </is>
      </c>
      <c r="I175" s="9">
        <f>IF($H175="","",IFERROR(INDEX('Settings'!$J$10:$J$39,MATCH($H175,'Settings'!$I$10:$I$39,0)),""))</f>
        <v/>
      </c>
      <c r="J175" s="6" t="n">
        <v>1</v>
      </c>
      <c r="K175" s="8" t="n">
        <v>600</v>
      </c>
      <c r="L175" s="8" t="n"/>
      <c r="M175" s="14">
        <f>IF($A175="","",$J175*$K175)</f>
        <v/>
      </c>
      <c r="N175" s="14">
        <f>IF($A175="","",$M175-$L175)</f>
        <v/>
      </c>
      <c r="O175" s="4" t="inlineStr">
        <is>
          <t>Card</t>
        </is>
      </c>
      <c r="P175" s="15">
        <f>IF($A175="","",DATE(YEAR($A175),MONTH($A175),1))</f>
        <v/>
      </c>
      <c r="Q175" s="16">
        <f>IF($H175="","",$J175*IFERROR(INDEX('Settings'!$L$10:$L$39,MATCH($H175,'Settings'!$I$10:$I$39,0)),0))</f>
        <v/>
      </c>
      <c r="R175" s="17">
        <f>IF($A175="","",$A175-WEEKDAY($A175,2)+1)</f>
        <v/>
      </c>
    </row>
    <row r="176">
      <c r="A176" s="5" t="n">
        <v>46219</v>
      </c>
      <c r="B176" s="4" t="inlineStr">
        <is>
          <t>North branch</t>
        </is>
      </c>
      <c r="C176" s="4" t="inlineStr">
        <is>
          <t>North 1</t>
        </is>
      </c>
      <c r="D176" s="4" t="inlineStr">
        <is>
          <t>Dr Khaled Youssef</t>
        </is>
      </c>
      <c r="E176" s="4" t="inlineStr">
        <is>
          <t>P-2605</t>
        </is>
      </c>
      <c r="F176" s="4" t="inlineStr">
        <is>
          <t>Returning</t>
        </is>
      </c>
      <c r="G176" s="4" t="inlineStr">
        <is>
          <t>Google</t>
        </is>
      </c>
      <c r="H176" s="4" t="inlineStr">
        <is>
          <t>Sunscreen cream</t>
        </is>
      </c>
      <c r="I176" s="9">
        <f>IF($H176="","",IFERROR(INDEX('Settings'!$J$10:$J$39,MATCH($H176,'Settings'!$I$10:$I$39,0)),""))</f>
        <v/>
      </c>
      <c r="J176" s="6" t="n">
        <v>1</v>
      </c>
      <c r="K176" s="8" t="n">
        <v>120</v>
      </c>
      <c r="L176" s="8" t="n"/>
      <c r="M176" s="14">
        <f>IF($A176="","",$J176*$K176)</f>
        <v/>
      </c>
      <c r="N176" s="14">
        <f>IF($A176="","",$M176-$L176)</f>
        <v/>
      </c>
      <c r="O176" s="4" t="inlineStr">
        <is>
          <t>Card</t>
        </is>
      </c>
      <c r="P176" s="15">
        <f>IF($A176="","",DATE(YEAR($A176),MONTH($A176),1))</f>
        <v/>
      </c>
      <c r="Q176" s="16">
        <f>IF($H176="","",$J176*IFERROR(INDEX('Settings'!$L$10:$L$39,MATCH($H176,'Settings'!$I$10:$I$39,0)),0))</f>
        <v/>
      </c>
      <c r="R176" s="17">
        <f>IF($A176="","",$A176-WEEKDAY($A176,2)+1)</f>
        <v/>
      </c>
    </row>
    <row r="177">
      <c r="A177" s="5" t="n">
        <v>46219</v>
      </c>
      <c r="B177" s="4" t="inlineStr">
        <is>
          <t>North branch</t>
        </is>
      </c>
      <c r="C177" s="4" t="inlineStr">
        <is>
          <t>North 1</t>
        </is>
      </c>
      <c r="D177" s="4" t="inlineStr">
        <is>
          <t>Dr Khaled Youssef</t>
        </is>
      </c>
      <c r="E177" s="4" t="inlineStr">
        <is>
          <t>P-2961</t>
        </is>
      </c>
      <c r="F177" s="4" t="inlineStr">
        <is>
          <t>Returning</t>
        </is>
      </c>
      <c r="G177" s="4" t="inlineStr">
        <is>
          <t>WhatsApp</t>
        </is>
      </c>
      <c r="H177" s="4" t="inlineStr">
        <is>
          <t>Skin tag removal</t>
        </is>
      </c>
      <c r="I177" s="9">
        <f>IF($H177="","",IFERROR(INDEX('Settings'!$J$10:$J$39,MATCH($H177,'Settings'!$I$10:$I$39,0)),""))</f>
        <v/>
      </c>
      <c r="J177" s="6" t="n">
        <v>1</v>
      </c>
      <c r="K177" s="8" t="n">
        <v>500</v>
      </c>
      <c r="L177" s="8" t="n"/>
      <c r="M177" s="14">
        <f>IF($A177="","",$J177*$K177)</f>
        <v/>
      </c>
      <c r="N177" s="14">
        <f>IF($A177="","",$M177-$L177)</f>
        <v/>
      </c>
      <c r="O177" s="4" t="inlineStr">
        <is>
          <t>Insurance</t>
        </is>
      </c>
      <c r="P177" s="15">
        <f>IF($A177="","",DATE(YEAR($A177),MONTH($A177),1))</f>
        <v/>
      </c>
      <c r="Q177" s="16">
        <f>IF($H177="","",$J177*IFERROR(INDEX('Settings'!$L$10:$L$39,MATCH($H177,'Settings'!$I$10:$I$39,0)),0))</f>
        <v/>
      </c>
      <c r="R177" s="17">
        <f>IF($A177="","",$A177-WEEKDAY($A177,2)+1)</f>
        <v/>
      </c>
    </row>
    <row r="178">
      <c r="A178" s="5" t="n">
        <v>46219</v>
      </c>
      <c r="B178" s="4" t="inlineStr">
        <is>
          <t>North branch</t>
        </is>
      </c>
      <c r="C178" s="4" t="inlineStr">
        <is>
          <t>North 1</t>
        </is>
      </c>
      <c r="D178" s="4" t="inlineStr">
        <is>
          <t>Dr Khaled Youssef</t>
        </is>
      </c>
      <c r="E178" s="4" t="inlineStr">
        <is>
          <t>P-3143</t>
        </is>
      </c>
      <c r="F178" s="4" t="inlineStr">
        <is>
          <t>Returning</t>
        </is>
      </c>
      <c r="G178" s="4" t="inlineStr">
        <is>
          <t>Instagram</t>
        </is>
      </c>
      <c r="H178" s="4" t="inlineStr">
        <is>
          <t>Vitamin C serum</t>
        </is>
      </c>
      <c r="I178" s="9">
        <f>IF($H178="","",IFERROR(INDEX('Settings'!$J$10:$J$39,MATCH($H178,'Settings'!$I$10:$I$39,0)),""))</f>
        <v/>
      </c>
      <c r="J178" s="6" t="n">
        <v>2</v>
      </c>
      <c r="K178" s="8" t="n">
        <v>220</v>
      </c>
      <c r="L178" s="8" t="n"/>
      <c r="M178" s="14">
        <f>IF($A178="","",$J178*$K178)</f>
        <v/>
      </c>
      <c r="N178" s="14">
        <f>IF($A178="","",$M178-$L178)</f>
        <v/>
      </c>
      <c r="O178" s="4" t="inlineStr">
        <is>
          <t>Cash</t>
        </is>
      </c>
      <c r="P178" s="15">
        <f>IF($A178="","",DATE(YEAR($A178),MONTH($A178),1))</f>
        <v/>
      </c>
      <c r="Q178" s="16">
        <f>IF($H178="","",$J178*IFERROR(INDEX('Settings'!$L$10:$L$39,MATCH($H178,'Settings'!$I$10:$I$39,0)),0))</f>
        <v/>
      </c>
      <c r="R178" s="17">
        <f>IF($A178="","",$A178-WEEKDAY($A178,2)+1)</f>
        <v/>
      </c>
    </row>
    <row r="179">
      <c r="A179" s="5" t="n">
        <v>46219</v>
      </c>
      <c r="B179" s="4" t="inlineStr">
        <is>
          <t>North branch</t>
        </is>
      </c>
      <c r="C179" s="4" t="inlineStr">
        <is>
          <t>North 1</t>
        </is>
      </c>
      <c r="D179" s="4" t="inlineStr">
        <is>
          <t>Dr Khaled Youssef</t>
        </is>
      </c>
      <c r="E179" s="4" t="inlineStr">
        <is>
          <t>P-2356</t>
        </is>
      </c>
      <c r="F179" s="4" t="inlineStr">
        <is>
          <t>Returning</t>
        </is>
      </c>
      <c r="G179" s="4" t="inlineStr">
        <is>
          <t>Walk-in</t>
        </is>
      </c>
      <c r="H179" s="4" t="inlineStr">
        <is>
          <t>Laser session, face</t>
        </is>
      </c>
      <c r="I179" s="9">
        <f>IF($H179="","",IFERROR(INDEX('Settings'!$J$10:$J$39,MATCH($H179,'Settings'!$I$10:$I$39,0)),""))</f>
        <v/>
      </c>
      <c r="J179" s="6" t="n">
        <v>1</v>
      </c>
      <c r="K179" s="8" t="n">
        <v>600</v>
      </c>
      <c r="L179" s="8" t="n"/>
      <c r="M179" s="14">
        <f>IF($A179="","",$J179*$K179)</f>
        <v/>
      </c>
      <c r="N179" s="14">
        <f>IF($A179="","",$M179-$L179)</f>
        <v/>
      </c>
      <c r="O179" s="4" t="inlineStr">
        <is>
          <t>Card</t>
        </is>
      </c>
      <c r="P179" s="15">
        <f>IF($A179="","",DATE(YEAR($A179),MONTH($A179),1))</f>
        <v/>
      </c>
      <c r="Q179" s="16">
        <f>IF($H179="","",$J179*IFERROR(INDEX('Settings'!$L$10:$L$39,MATCH($H179,'Settings'!$I$10:$I$39,0)),0))</f>
        <v/>
      </c>
      <c r="R179" s="17">
        <f>IF($A179="","",$A179-WEEKDAY($A179,2)+1)</f>
        <v/>
      </c>
    </row>
    <row r="180">
      <c r="A180" s="5" t="n">
        <v>46219</v>
      </c>
      <c r="B180" s="4" t="inlineStr">
        <is>
          <t>North branch</t>
        </is>
      </c>
      <c r="C180" s="4" t="inlineStr">
        <is>
          <t>North 2</t>
        </is>
      </c>
      <c r="D180" s="4" t="inlineStr">
        <is>
          <t>Dr Mohamed Adel</t>
        </is>
      </c>
      <c r="E180" s="4" t="inlineStr">
        <is>
          <t>P-2816</t>
        </is>
      </c>
      <c r="F180" s="4" t="inlineStr">
        <is>
          <t>New</t>
        </is>
      </c>
      <c r="G180" s="4" t="inlineStr">
        <is>
          <t>Google</t>
        </is>
      </c>
      <c r="H180" s="4" t="inlineStr">
        <is>
          <t>Chemical peel</t>
        </is>
      </c>
      <c r="I180" s="9">
        <f>IF($H180="","",IFERROR(INDEX('Settings'!$J$10:$J$39,MATCH($H180,'Settings'!$I$10:$I$39,0)),""))</f>
        <v/>
      </c>
      <c r="J180" s="6" t="n">
        <v>1</v>
      </c>
      <c r="K180" s="8" t="n">
        <v>800</v>
      </c>
      <c r="L180" s="8" t="n"/>
      <c r="M180" s="14">
        <f>IF($A180="","",$J180*$K180)</f>
        <v/>
      </c>
      <c r="N180" s="14">
        <f>IF($A180="","",$M180-$L180)</f>
        <v/>
      </c>
      <c r="O180" s="4" t="inlineStr">
        <is>
          <t>Cash</t>
        </is>
      </c>
      <c r="P180" s="15">
        <f>IF($A180="","",DATE(YEAR($A180),MONTH($A180),1))</f>
        <v/>
      </c>
      <c r="Q180" s="16">
        <f>IF($H180="","",$J180*IFERROR(INDEX('Settings'!$L$10:$L$39,MATCH($H180,'Settings'!$I$10:$I$39,0)),0))</f>
        <v/>
      </c>
      <c r="R180" s="17">
        <f>IF($A180="","",$A180-WEEKDAY($A180,2)+1)</f>
        <v/>
      </c>
    </row>
    <row r="181">
      <c r="A181" s="5" t="n">
        <v>46219</v>
      </c>
      <c r="B181" s="4" t="inlineStr">
        <is>
          <t>North branch</t>
        </is>
      </c>
      <c r="C181" s="4" t="inlineStr">
        <is>
          <t>North 2</t>
        </is>
      </c>
      <c r="D181" s="4" t="inlineStr">
        <is>
          <t>Dr Mohamed Adel</t>
        </is>
      </c>
      <c r="E181" s="4" t="inlineStr">
        <is>
          <t>P-3332</t>
        </is>
      </c>
      <c r="F181" s="4" t="inlineStr">
        <is>
          <t>New</t>
        </is>
      </c>
      <c r="G181" s="4" t="inlineStr">
        <is>
          <t>Instagram</t>
        </is>
      </c>
      <c r="H181" s="4" t="inlineStr">
        <is>
          <t>Specialist consultation</t>
        </is>
      </c>
      <c r="I181" s="9">
        <f>IF($H181="","",IFERROR(INDEX('Settings'!$J$10:$J$39,MATCH($H181,'Settings'!$I$10:$I$39,0)),""))</f>
        <v/>
      </c>
      <c r="J181" s="6" t="n">
        <v>1</v>
      </c>
      <c r="K181" s="8" t="n">
        <v>350</v>
      </c>
      <c r="L181" s="8" t="n"/>
      <c r="M181" s="14">
        <f>IF($A181="","",$J181*$K181)</f>
        <v/>
      </c>
      <c r="N181" s="14">
        <f>IF($A181="","",$M181-$L181)</f>
        <v/>
      </c>
      <c r="O181" s="4" t="inlineStr">
        <is>
          <t>Transfer</t>
        </is>
      </c>
      <c r="P181" s="15">
        <f>IF($A181="","",DATE(YEAR($A181),MONTH($A181),1))</f>
        <v/>
      </c>
      <c r="Q181" s="16">
        <f>IF($H181="","",$J181*IFERROR(INDEX('Settings'!$L$10:$L$39,MATCH($H181,'Settings'!$I$10:$I$39,0)),0))</f>
        <v/>
      </c>
      <c r="R181" s="17">
        <f>IF($A181="","",$A181-WEEKDAY($A181,2)+1)</f>
        <v/>
      </c>
    </row>
    <row r="182">
      <c r="A182" s="5" t="n">
        <v>46219</v>
      </c>
      <c r="B182" s="4" t="inlineStr">
        <is>
          <t>North branch</t>
        </is>
      </c>
      <c r="C182" s="4" t="inlineStr">
        <is>
          <t>North 2</t>
        </is>
      </c>
      <c r="D182" s="4" t="inlineStr">
        <is>
          <t>Dr Layla Al Qahtani</t>
        </is>
      </c>
      <c r="E182" s="4" t="inlineStr">
        <is>
          <t>P-3406</t>
        </is>
      </c>
      <c r="F182" s="4" t="inlineStr">
        <is>
          <t>New</t>
        </is>
      </c>
      <c r="G182" s="4" t="inlineStr">
        <is>
          <t>WhatsApp</t>
        </is>
      </c>
      <c r="H182" s="4" t="inlineStr">
        <is>
          <t>Laser session, face</t>
        </is>
      </c>
      <c r="I182" s="9">
        <f>IF($H182="","",IFERROR(INDEX('Settings'!$J$10:$J$39,MATCH($H182,'Settings'!$I$10:$I$39,0)),""))</f>
        <v/>
      </c>
      <c r="J182" s="6" t="n">
        <v>1</v>
      </c>
      <c r="K182" s="8" t="n">
        <v>600</v>
      </c>
      <c r="L182" s="8" t="n"/>
      <c r="M182" s="14">
        <f>IF($A182="","",$J182*$K182)</f>
        <v/>
      </c>
      <c r="N182" s="14">
        <f>IF($A182="","",$M182-$L182)</f>
        <v/>
      </c>
      <c r="O182" s="4" t="inlineStr">
        <is>
          <t>Card</t>
        </is>
      </c>
      <c r="P182" s="15">
        <f>IF($A182="","",DATE(YEAR($A182),MONTH($A182),1))</f>
        <v/>
      </c>
      <c r="Q182" s="16">
        <f>IF($H182="","",$J182*IFERROR(INDEX('Settings'!$L$10:$L$39,MATCH($H182,'Settings'!$I$10:$I$39,0)),0))</f>
        <v/>
      </c>
      <c r="R182" s="17">
        <f>IF($A182="","",$A182-WEEKDAY($A182,2)+1)</f>
        <v/>
      </c>
    </row>
    <row r="183">
      <c r="A183" s="5" t="n">
        <v>46219</v>
      </c>
      <c r="B183" s="4" t="inlineStr">
        <is>
          <t>North branch</t>
        </is>
      </c>
      <c r="C183" s="4" t="inlineStr">
        <is>
          <t>North 2</t>
        </is>
      </c>
      <c r="D183" s="4" t="inlineStr">
        <is>
          <t>Dr Khaled Youssef</t>
        </is>
      </c>
      <c r="E183" s="4" t="inlineStr">
        <is>
          <t>P-3051</t>
        </is>
      </c>
      <c r="F183" s="4" t="inlineStr">
        <is>
          <t>Returning</t>
        </is>
      </c>
      <c r="G183" s="4" t="inlineStr">
        <is>
          <t>Instagram</t>
        </is>
      </c>
      <c r="H183" s="4" t="inlineStr">
        <is>
          <t>Physiotherapy session</t>
        </is>
      </c>
      <c r="I183" s="9">
        <f>IF($H183="","",IFERROR(INDEX('Settings'!$J$10:$J$39,MATCH($H183,'Settings'!$I$10:$I$39,0)),""))</f>
        <v/>
      </c>
      <c r="J183" s="6" t="n">
        <v>1</v>
      </c>
      <c r="K183" s="8" t="n">
        <v>300</v>
      </c>
      <c r="L183" s="8" t="n"/>
      <c r="M183" s="14">
        <f>IF($A183="","",$J183*$K183)</f>
        <v/>
      </c>
      <c r="N183" s="14">
        <f>IF($A183="","",$M183-$L183)</f>
        <v/>
      </c>
      <c r="O183" s="4" t="inlineStr">
        <is>
          <t>Payment link</t>
        </is>
      </c>
      <c r="P183" s="15">
        <f>IF($A183="","",DATE(YEAR($A183),MONTH($A183),1))</f>
        <v/>
      </c>
      <c r="Q183" s="16">
        <f>IF($H183="","",$J183*IFERROR(INDEX('Settings'!$L$10:$L$39,MATCH($H183,'Settings'!$I$10:$I$39,0)),0))</f>
        <v/>
      </c>
      <c r="R183" s="17">
        <f>IF($A183="","",$A183-WEEKDAY($A183,2)+1)</f>
        <v/>
      </c>
    </row>
    <row r="184">
      <c r="A184" s="5" t="n">
        <v>46219</v>
      </c>
      <c r="B184" s="4" t="inlineStr">
        <is>
          <t>North branch</t>
        </is>
      </c>
      <c r="C184" s="4" t="inlineStr">
        <is>
          <t>North 2</t>
        </is>
      </c>
      <c r="D184" s="4" t="inlineStr">
        <is>
          <t>Dr Layla Al Qahtani</t>
        </is>
      </c>
      <c r="E184" s="4" t="inlineStr">
        <is>
          <t>P-2539</t>
        </is>
      </c>
      <c r="F184" s="4" t="inlineStr">
        <is>
          <t>Returning</t>
        </is>
      </c>
      <c r="G184" s="4" t="inlineStr">
        <is>
          <t>Google</t>
        </is>
      </c>
      <c r="H184" s="4" t="inlineStr">
        <is>
          <t>Physiotherapy session</t>
        </is>
      </c>
      <c r="I184" s="9">
        <f>IF($H184="","",IFERROR(INDEX('Settings'!$J$10:$J$39,MATCH($H184,'Settings'!$I$10:$I$39,0)),""))</f>
        <v/>
      </c>
      <c r="J184" s="6" t="n">
        <v>1</v>
      </c>
      <c r="K184" s="8" t="n">
        <v>300</v>
      </c>
      <c r="L184" s="8" t="n"/>
      <c r="M184" s="14">
        <f>IF($A184="","",$J184*$K184)</f>
        <v/>
      </c>
      <c r="N184" s="14">
        <f>IF($A184="","",$M184-$L184)</f>
        <v/>
      </c>
      <c r="O184" s="4" t="inlineStr">
        <is>
          <t>Payment link</t>
        </is>
      </c>
      <c r="P184" s="15">
        <f>IF($A184="","",DATE(YEAR($A184),MONTH($A184),1))</f>
        <v/>
      </c>
      <c r="Q184" s="16">
        <f>IF($H184="","",$J184*IFERROR(INDEX('Settings'!$L$10:$L$39,MATCH($H184,'Settings'!$I$10:$I$39,0)),0))</f>
        <v/>
      </c>
      <c r="R184" s="17">
        <f>IF($A184="","",$A184-WEEKDAY($A184,2)+1)</f>
        <v/>
      </c>
    </row>
    <row r="185">
      <c r="A185" s="5" t="n">
        <v>46219</v>
      </c>
      <c r="B185" s="4" t="inlineStr">
        <is>
          <t>North branch</t>
        </is>
      </c>
      <c r="C185" s="4" t="inlineStr">
        <is>
          <t>North 2</t>
        </is>
      </c>
      <c r="D185" s="4" t="inlineStr">
        <is>
          <t>Dr Khaled Youssef</t>
        </is>
      </c>
      <c r="E185" s="4" t="inlineStr">
        <is>
          <t>P-2239</t>
        </is>
      </c>
      <c r="F185" s="4" t="inlineStr">
        <is>
          <t>Returning</t>
        </is>
      </c>
      <c r="G185" s="4" t="inlineStr">
        <is>
          <t>Walk-in</t>
        </is>
      </c>
      <c r="H185" s="4" t="inlineStr">
        <is>
          <t>Follow-up visit</t>
        </is>
      </c>
      <c r="I185" s="9">
        <f>IF($H185="","",IFERROR(INDEX('Settings'!$J$10:$J$39,MATCH($H185,'Settings'!$I$10:$I$39,0)),""))</f>
        <v/>
      </c>
      <c r="J185" s="6" t="n">
        <v>1</v>
      </c>
      <c r="K185" s="8" t="n">
        <v>150</v>
      </c>
      <c r="L185" s="8" t="n"/>
      <c r="M185" s="14">
        <f>IF($A185="","",$J185*$K185)</f>
        <v/>
      </c>
      <c r="N185" s="14">
        <f>IF($A185="","",$M185-$L185)</f>
        <v/>
      </c>
      <c r="O185" s="4" t="inlineStr">
        <is>
          <t>Transfer</t>
        </is>
      </c>
      <c r="P185" s="15">
        <f>IF($A185="","",DATE(YEAR($A185),MONTH($A185),1))</f>
        <v/>
      </c>
      <c r="Q185" s="16">
        <f>IF($H185="","",$J185*IFERROR(INDEX('Settings'!$L$10:$L$39,MATCH($H185,'Settings'!$I$10:$I$39,0)),0))</f>
        <v/>
      </c>
      <c r="R185" s="17">
        <f>IF($A185="","",$A185-WEEKDAY($A185,2)+1)</f>
        <v/>
      </c>
    </row>
    <row r="186">
      <c r="A186" s="5" t="n">
        <v>46219</v>
      </c>
      <c r="B186" s="4" t="inlineStr">
        <is>
          <t>North branch</t>
        </is>
      </c>
      <c r="C186" s="4" t="inlineStr">
        <is>
          <t>North 2</t>
        </is>
      </c>
      <c r="D186" s="4" t="inlineStr">
        <is>
          <t>Dr Layla Al Qahtani</t>
        </is>
      </c>
      <c r="E186" s="4" t="inlineStr">
        <is>
          <t>P-2900</t>
        </is>
      </c>
      <c r="F186" s="4" t="inlineStr">
        <is>
          <t>Returning</t>
        </is>
      </c>
      <c r="G186" s="4" t="inlineStr">
        <is>
          <t>WhatsApp</t>
        </is>
      </c>
      <c r="H186" s="4" t="inlineStr">
        <is>
          <t>Laser session, face</t>
        </is>
      </c>
      <c r="I186" s="9">
        <f>IF($H186="","",IFERROR(INDEX('Settings'!$J$10:$J$39,MATCH($H186,'Settings'!$I$10:$I$39,0)),""))</f>
        <v/>
      </c>
      <c r="J186" s="6" t="n">
        <v>1</v>
      </c>
      <c r="K186" s="8" t="n">
        <v>600</v>
      </c>
      <c r="L186" s="8" t="n"/>
      <c r="M186" s="14">
        <f>IF($A186="","",$J186*$K186)</f>
        <v/>
      </c>
      <c r="N186" s="14">
        <f>IF($A186="","",$M186-$L186)</f>
        <v/>
      </c>
      <c r="O186" s="4" t="inlineStr">
        <is>
          <t>Cash</t>
        </is>
      </c>
      <c r="P186" s="15">
        <f>IF($A186="","",DATE(YEAR($A186),MONTH($A186),1))</f>
        <v/>
      </c>
      <c r="Q186" s="16">
        <f>IF($H186="","",$J186*IFERROR(INDEX('Settings'!$L$10:$L$39,MATCH($H186,'Settings'!$I$10:$I$39,0)),0))</f>
        <v/>
      </c>
      <c r="R186" s="17">
        <f>IF($A186="","",$A186-WEEKDAY($A186,2)+1)</f>
        <v/>
      </c>
    </row>
    <row r="187">
      <c r="A187" s="5" t="n">
        <v>46221</v>
      </c>
      <c r="B187" s="4" t="inlineStr">
        <is>
          <t>Main branch</t>
        </is>
      </c>
      <c r="C187" s="4" t="inlineStr">
        <is>
          <t>Main 1</t>
        </is>
      </c>
      <c r="D187" s="4" t="inlineStr">
        <is>
          <t>Dr Noura Al Subaie</t>
        </is>
      </c>
      <c r="E187" s="4" t="inlineStr">
        <is>
          <t>P-2242</t>
        </is>
      </c>
      <c r="F187" s="4" t="inlineStr">
        <is>
          <t>Returning</t>
        </is>
      </c>
      <c r="G187" s="4" t="inlineStr">
        <is>
          <t>Referral</t>
        </is>
      </c>
      <c r="H187" s="4" t="inlineStr">
        <is>
          <t>Specialist consultation</t>
        </is>
      </c>
      <c r="I187" s="9">
        <f>IF($H187="","",IFERROR(INDEX('Settings'!$J$10:$J$39,MATCH($H187,'Settings'!$I$10:$I$39,0)),""))</f>
        <v/>
      </c>
      <c r="J187" s="6" t="n">
        <v>1</v>
      </c>
      <c r="K187" s="8" t="n">
        <v>350</v>
      </c>
      <c r="L187" s="8" t="n"/>
      <c r="M187" s="14">
        <f>IF($A187="","",$J187*$K187)</f>
        <v/>
      </c>
      <c r="N187" s="14">
        <f>IF($A187="","",$M187-$L187)</f>
        <v/>
      </c>
      <c r="O187" s="4" t="inlineStr">
        <is>
          <t>Card</t>
        </is>
      </c>
      <c r="P187" s="15">
        <f>IF($A187="","",DATE(YEAR($A187),MONTH($A187),1))</f>
        <v/>
      </c>
      <c r="Q187" s="16">
        <f>IF($H187="","",$J187*IFERROR(INDEX('Settings'!$L$10:$L$39,MATCH($H187,'Settings'!$I$10:$I$39,0)),0))</f>
        <v/>
      </c>
      <c r="R187" s="17">
        <f>IF($A187="","",$A187-WEEKDAY($A187,2)+1)</f>
        <v/>
      </c>
    </row>
    <row r="188">
      <c r="A188" s="5" t="n">
        <v>46221</v>
      </c>
      <c r="B188" s="4" t="inlineStr">
        <is>
          <t>Main branch</t>
        </is>
      </c>
      <c r="C188" s="4" t="inlineStr">
        <is>
          <t>Main 1</t>
        </is>
      </c>
      <c r="D188" s="4" t="inlineStr">
        <is>
          <t>Dr Ahmed Mansour</t>
        </is>
      </c>
      <c r="E188" s="4" t="inlineStr">
        <is>
          <t>P-3286</t>
        </is>
      </c>
      <c r="F188" s="4" t="inlineStr">
        <is>
          <t>Returning</t>
        </is>
      </c>
      <c r="G188" s="4" t="inlineStr">
        <is>
          <t>Google</t>
        </is>
      </c>
      <c r="H188" s="4" t="inlineStr">
        <is>
          <t>Laser session, face</t>
        </is>
      </c>
      <c r="I188" s="9">
        <f>IF($H188="","",IFERROR(INDEX('Settings'!$J$10:$J$39,MATCH($H188,'Settings'!$I$10:$I$39,0)),""))</f>
        <v/>
      </c>
      <c r="J188" s="6" t="n">
        <v>1</v>
      </c>
      <c r="K188" s="8" t="n">
        <v>600</v>
      </c>
      <c r="L188" s="8" t="n"/>
      <c r="M188" s="14">
        <f>IF($A188="","",$J188*$K188)</f>
        <v/>
      </c>
      <c r="N188" s="14">
        <f>IF($A188="","",$M188-$L188)</f>
        <v/>
      </c>
      <c r="O188" s="4" t="inlineStr">
        <is>
          <t>Payment link</t>
        </is>
      </c>
      <c r="P188" s="15">
        <f>IF($A188="","",DATE(YEAR($A188),MONTH($A188),1))</f>
        <v/>
      </c>
      <c r="Q188" s="16">
        <f>IF($H188="","",$J188*IFERROR(INDEX('Settings'!$L$10:$L$39,MATCH($H188,'Settings'!$I$10:$I$39,0)),0))</f>
        <v/>
      </c>
      <c r="R188" s="17">
        <f>IF($A188="","",$A188-WEEKDAY($A188,2)+1)</f>
        <v/>
      </c>
    </row>
    <row r="189">
      <c r="A189" s="5" t="n">
        <v>46221</v>
      </c>
      <c r="B189" s="4" t="inlineStr">
        <is>
          <t>Main branch</t>
        </is>
      </c>
      <c r="C189" s="4" t="inlineStr">
        <is>
          <t>Main 1</t>
        </is>
      </c>
      <c r="D189" s="4" t="inlineStr">
        <is>
          <t>Dr Sara Al Harbi</t>
        </is>
      </c>
      <c r="E189" s="4" t="inlineStr">
        <is>
          <t>P-2523</t>
        </is>
      </c>
      <c r="F189" s="4" t="inlineStr">
        <is>
          <t>Returning</t>
        </is>
      </c>
      <c r="G189" s="4" t="inlineStr">
        <is>
          <t>Referral</t>
        </is>
      </c>
      <c r="H189" s="4" t="inlineStr">
        <is>
          <t>Filler injection</t>
        </is>
      </c>
      <c r="I189" s="9">
        <f>IF($H189="","",IFERROR(INDEX('Settings'!$J$10:$J$39,MATCH($H189,'Settings'!$I$10:$I$39,0)),""))</f>
        <v/>
      </c>
      <c r="J189" s="6" t="n">
        <v>1</v>
      </c>
      <c r="K189" s="8" t="n">
        <v>1800</v>
      </c>
      <c r="L189" s="8" t="n"/>
      <c r="M189" s="14">
        <f>IF($A189="","",$J189*$K189)</f>
        <v/>
      </c>
      <c r="N189" s="14">
        <f>IF($A189="","",$M189-$L189)</f>
        <v/>
      </c>
      <c r="O189" s="4" t="inlineStr">
        <is>
          <t>Cash</t>
        </is>
      </c>
      <c r="P189" s="15">
        <f>IF($A189="","",DATE(YEAR($A189),MONTH($A189),1))</f>
        <v/>
      </c>
      <c r="Q189" s="16">
        <f>IF($H189="","",$J189*IFERROR(INDEX('Settings'!$L$10:$L$39,MATCH($H189,'Settings'!$I$10:$I$39,0)),0))</f>
        <v/>
      </c>
      <c r="R189" s="17">
        <f>IF($A189="","",$A189-WEEKDAY($A189,2)+1)</f>
        <v/>
      </c>
    </row>
    <row r="190">
      <c r="A190" s="5" t="n">
        <v>46221</v>
      </c>
      <c r="B190" s="4" t="inlineStr">
        <is>
          <t>Main branch</t>
        </is>
      </c>
      <c r="C190" s="4" t="inlineStr">
        <is>
          <t>Main 1</t>
        </is>
      </c>
      <c r="D190" s="4" t="inlineStr">
        <is>
          <t>Dr Ahmed Mansour</t>
        </is>
      </c>
      <c r="E190" s="4" t="inlineStr">
        <is>
          <t>P-3253</t>
        </is>
      </c>
      <c r="F190" s="4" t="inlineStr">
        <is>
          <t>New</t>
        </is>
      </c>
      <c r="G190" s="4" t="inlineStr">
        <is>
          <t>WhatsApp</t>
        </is>
      </c>
      <c r="H190" s="4" t="inlineStr">
        <is>
          <t>Laser session, body</t>
        </is>
      </c>
      <c r="I190" s="9">
        <f>IF($H190="","",IFERROR(INDEX('Settings'!$J$10:$J$39,MATCH($H190,'Settings'!$I$10:$I$39,0)),""))</f>
        <v/>
      </c>
      <c r="J190" s="6" t="n">
        <v>1</v>
      </c>
      <c r="K190" s="8" t="n">
        <v>1200</v>
      </c>
      <c r="L190" s="8" t="n"/>
      <c r="M190" s="14">
        <f>IF($A190="","",$J190*$K190)</f>
        <v/>
      </c>
      <c r="N190" s="14">
        <f>IF($A190="","",$M190-$L190)</f>
        <v/>
      </c>
      <c r="O190" s="4" t="inlineStr">
        <is>
          <t>Payment link</t>
        </is>
      </c>
      <c r="P190" s="15">
        <f>IF($A190="","",DATE(YEAR($A190),MONTH($A190),1))</f>
        <v/>
      </c>
      <c r="Q190" s="16">
        <f>IF($H190="","",$J190*IFERROR(INDEX('Settings'!$L$10:$L$39,MATCH($H190,'Settings'!$I$10:$I$39,0)),0))</f>
        <v/>
      </c>
      <c r="R190" s="17">
        <f>IF($A190="","",$A190-WEEKDAY($A190,2)+1)</f>
        <v/>
      </c>
    </row>
    <row r="191">
      <c r="A191" s="5" t="n">
        <v>46221</v>
      </c>
      <c r="B191" s="4" t="inlineStr">
        <is>
          <t>Main branch</t>
        </is>
      </c>
      <c r="C191" s="4" t="inlineStr">
        <is>
          <t>Main 2</t>
        </is>
      </c>
      <c r="D191" s="4" t="inlineStr">
        <is>
          <t>Dr Sara Al Harbi</t>
        </is>
      </c>
      <c r="E191" s="4" t="inlineStr">
        <is>
          <t>P-2157</t>
        </is>
      </c>
      <c r="F191" s="4" t="inlineStr">
        <is>
          <t>New</t>
        </is>
      </c>
      <c r="G191" s="4" t="inlineStr">
        <is>
          <t>Google</t>
        </is>
      </c>
      <c r="H191" s="4" t="inlineStr">
        <is>
          <t>Follow-up visit</t>
        </is>
      </c>
      <c r="I191" s="9">
        <f>IF($H191="","",IFERROR(INDEX('Settings'!$J$10:$J$39,MATCH($H191,'Settings'!$I$10:$I$39,0)),""))</f>
        <v/>
      </c>
      <c r="J191" s="6" t="n">
        <v>1</v>
      </c>
      <c r="K191" s="8" t="n">
        <v>150</v>
      </c>
      <c r="L191" s="8" t="n"/>
      <c r="M191" s="14">
        <f>IF($A191="","",$J191*$K191)</f>
        <v/>
      </c>
      <c r="N191" s="14">
        <f>IF($A191="","",$M191-$L191)</f>
        <v/>
      </c>
      <c r="O191" s="4" t="inlineStr">
        <is>
          <t>Cash</t>
        </is>
      </c>
      <c r="P191" s="15">
        <f>IF($A191="","",DATE(YEAR($A191),MONTH($A191),1))</f>
        <v/>
      </c>
      <c r="Q191" s="16">
        <f>IF($H191="","",$J191*IFERROR(INDEX('Settings'!$L$10:$L$39,MATCH($H191,'Settings'!$I$10:$I$39,0)),0))</f>
        <v/>
      </c>
      <c r="R191" s="17">
        <f>IF($A191="","",$A191-WEEKDAY($A191,2)+1)</f>
        <v/>
      </c>
    </row>
    <row r="192">
      <c r="A192" s="5" t="n">
        <v>46221</v>
      </c>
      <c r="B192" s="4" t="inlineStr">
        <is>
          <t>Main branch</t>
        </is>
      </c>
      <c r="C192" s="4" t="inlineStr">
        <is>
          <t>Main 2</t>
        </is>
      </c>
      <c r="D192" s="4" t="inlineStr">
        <is>
          <t>Dr Sara Al Harbi</t>
        </is>
      </c>
      <c r="E192" s="4" t="inlineStr">
        <is>
          <t>P-2212</t>
        </is>
      </c>
      <c r="F192" s="4" t="inlineStr">
        <is>
          <t>Returning</t>
        </is>
      </c>
      <c r="G192" s="4" t="inlineStr">
        <is>
          <t>Walk-in</t>
        </is>
      </c>
      <c r="H192" s="4" t="inlineStr">
        <is>
          <t>Follow-up visit</t>
        </is>
      </c>
      <c r="I192" s="9">
        <f>IF($H192="","",IFERROR(INDEX('Settings'!$J$10:$J$39,MATCH($H192,'Settings'!$I$10:$I$39,0)),""))</f>
        <v/>
      </c>
      <c r="J192" s="6" t="n">
        <v>1</v>
      </c>
      <c r="K192" s="8" t="n">
        <v>150</v>
      </c>
      <c r="L192" s="8" t="n"/>
      <c r="M192" s="14">
        <f>IF($A192="","",$J192*$K192)</f>
        <v/>
      </c>
      <c r="N192" s="14">
        <f>IF($A192="","",$M192-$L192)</f>
        <v/>
      </c>
      <c r="O192" s="4" t="inlineStr">
        <is>
          <t>Card</t>
        </is>
      </c>
      <c r="P192" s="15">
        <f>IF($A192="","",DATE(YEAR($A192),MONTH($A192),1))</f>
        <v/>
      </c>
      <c r="Q192" s="16">
        <f>IF($H192="","",$J192*IFERROR(INDEX('Settings'!$L$10:$L$39,MATCH($H192,'Settings'!$I$10:$I$39,0)),0))</f>
        <v/>
      </c>
      <c r="R192" s="17">
        <f>IF($A192="","",$A192-WEEKDAY($A192,2)+1)</f>
        <v/>
      </c>
    </row>
    <row r="193">
      <c r="A193" s="5" t="n">
        <v>46221</v>
      </c>
      <c r="B193" s="4" t="inlineStr">
        <is>
          <t>Main branch</t>
        </is>
      </c>
      <c r="C193" s="4" t="inlineStr">
        <is>
          <t>Main 4</t>
        </is>
      </c>
      <c r="D193" s="4" t="inlineStr">
        <is>
          <t>Dr Sara Al Harbi</t>
        </is>
      </c>
      <c r="E193" s="4" t="inlineStr">
        <is>
          <t>P-3454</t>
        </is>
      </c>
      <c r="F193" s="4" t="inlineStr">
        <is>
          <t>New</t>
        </is>
      </c>
      <c r="G193" s="4" t="inlineStr">
        <is>
          <t>Instagram</t>
        </is>
      </c>
      <c r="H193" s="4" t="inlineStr">
        <is>
          <t>Follow-up visit</t>
        </is>
      </c>
      <c r="I193" s="9">
        <f>IF($H193="","",IFERROR(INDEX('Settings'!$J$10:$J$39,MATCH($H193,'Settings'!$I$10:$I$39,0)),""))</f>
        <v/>
      </c>
      <c r="J193" s="6" t="n">
        <v>1</v>
      </c>
      <c r="K193" s="8" t="n">
        <v>150</v>
      </c>
      <c r="L193" s="8" t="n"/>
      <c r="M193" s="14">
        <f>IF($A193="","",$J193*$K193)</f>
        <v/>
      </c>
      <c r="N193" s="14">
        <f>IF($A193="","",$M193-$L193)</f>
        <v/>
      </c>
      <c r="O193" s="4" t="inlineStr">
        <is>
          <t>Cash</t>
        </is>
      </c>
      <c r="P193" s="15">
        <f>IF($A193="","",DATE(YEAR($A193),MONTH($A193),1))</f>
        <v/>
      </c>
      <c r="Q193" s="16">
        <f>IF($H193="","",$J193*IFERROR(INDEX('Settings'!$L$10:$L$39,MATCH($H193,'Settings'!$I$10:$I$39,0)),0))</f>
        <v/>
      </c>
      <c r="R193" s="17">
        <f>IF($A193="","",$A193-WEEKDAY($A193,2)+1)</f>
        <v/>
      </c>
    </row>
    <row r="194">
      <c r="A194" s="5" t="n">
        <v>46221</v>
      </c>
      <c r="B194" s="4" t="inlineStr">
        <is>
          <t>Main branch</t>
        </is>
      </c>
      <c r="C194" s="4" t="inlineStr">
        <is>
          <t>Main 4</t>
        </is>
      </c>
      <c r="D194" s="4" t="inlineStr">
        <is>
          <t>Dr Ahmed Mansour</t>
        </is>
      </c>
      <c r="E194" s="4" t="inlineStr">
        <is>
          <t>P-2404</t>
        </is>
      </c>
      <c r="F194" s="4" t="inlineStr">
        <is>
          <t>New</t>
        </is>
      </c>
      <c r="G194" s="4" t="inlineStr">
        <is>
          <t>Instagram</t>
        </is>
      </c>
      <c r="H194" s="4" t="inlineStr">
        <is>
          <t>Laser session, face</t>
        </is>
      </c>
      <c r="I194" s="9">
        <f>IF($H194="","",IFERROR(INDEX('Settings'!$J$10:$J$39,MATCH($H194,'Settings'!$I$10:$I$39,0)),""))</f>
        <v/>
      </c>
      <c r="J194" s="6" t="n">
        <v>1</v>
      </c>
      <c r="K194" s="8" t="n">
        <v>600</v>
      </c>
      <c r="L194" s="8" t="n">
        <v>60</v>
      </c>
      <c r="M194" s="14">
        <f>IF($A194="","",$J194*$K194)</f>
        <v/>
      </c>
      <c r="N194" s="14">
        <f>IF($A194="","",$M194-$L194)</f>
        <v/>
      </c>
      <c r="O194" s="4" t="inlineStr">
        <is>
          <t>Card</t>
        </is>
      </c>
      <c r="P194" s="15">
        <f>IF($A194="","",DATE(YEAR($A194),MONTH($A194),1))</f>
        <v/>
      </c>
      <c r="Q194" s="16">
        <f>IF($H194="","",$J194*IFERROR(INDEX('Settings'!$L$10:$L$39,MATCH($H194,'Settings'!$I$10:$I$39,0)),0))</f>
        <v/>
      </c>
      <c r="R194" s="17">
        <f>IF($A194="","",$A194-WEEKDAY($A194,2)+1)</f>
        <v/>
      </c>
    </row>
    <row r="195">
      <c r="A195" s="5" t="n">
        <v>46221</v>
      </c>
      <c r="B195" s="4" t="inlineStr">
        <is>
          <t>Main branch</t>
        </is>
      </c>
      <c r="C195" s="4" t="inlineStr">
        <is>
          <t>Main 4</t>
        </is>
      </c>
      <c r="D195" s="4" t="inlineStr">
        <is>
          <t>Dr Noura Al Subaie</t>
        </is>
      </c>
      <c r="E195" s="4" t="inlineStr">
        <is>
          <t>P-2320</t>
        </is>
      </c>
      <c r="F195" s="4" t="inlineStr">
        <is>
          <t>Returning</t>
        </is>
      </c>
      <c r="G195" s="4" t="inlineStr">
        <is>
          <t>Instagram</t>
        </is>
      </c>
      <c r="H195" s="4" t="inlineStr">
        <is>
          <t>Laser session, body</t>
        </is>
      </c>
      <c r="I195" s="9">
        <f>IF($H195="","",IFERROR(INDEX('Settings'!$J$10:$J$39,MATCH($H195,'Settings'!$I$10:$I$39,0)),""))</f>
        <v/>
      </c>
      <c r="J195" s="6" t="n">
        <v>1</v>
      </c>
      <c r="K195" s="8" t="n">
        <v>1200</v>
      </c>
      <c r="L195" s="8" t="n"/>
      <c r="M195" s="14">
        <f>IF($A195="","",$J195*$K195)</f>
        <v/>
      </c>
      <c r="N195" s="14">
        <f>IF($A195="","",$M195-$L195)</f>
        <v/>
      </c>
      <c r="O195" s="4" t="inlineStr">
        <is>
          <t>Card</t>
        </is>
      </c>
      <c r="P195" s="15">
        <f>IF($A195="","",DATE(YEAR($A195),MONTH($A195),1))</f>
        <v/>
      </c>
      <c r="Q195" s="16">
        <f>IF($H195="","",$J195*IFERROR(INDEX('Settings'!$L$10:$L$39,MATCH($H195,'Settings'!$I$10:$I$39,0)),0))</f>
        <v/>
      </c>
      <c r="R195" s="17">
        <f>IF($A195="","",$A195-WEEKDAY($A195,2)+1)</f>
        <v/>
      </c>
    </row>
    <row r="196">
      <c r="A196" s="5" t="n">
        <v>46221</v>
      </c>
      <c r="B196" s="4" t="inlineStr">
        <is>
          <t>Main branch</t>
        </is>
      </c>
      <c r="C196" s="4" t="inlineStr">
        <is>
          <t>Main 4</t>
        </is>
      </c>
      <c r="D196" s="4" t="inlineStr">
        <is>
          <t>Dr Sara Al Harbi</t>
        </is>
      </c>
      <c r="E196" s="4" t="inlineStr">
        <is>
          <t>P-3447</t>
        </is>
      </c>
      <c r="F196" s="4" t="inlineStr">
        <is>
          <t>New</t>
        </is>
      </c>
      <c r="G196" s="4" t="inlineStr">
        <is>
          <t>Walk-in</t>
        </is>
      </c>
      <c r="H196" s="4" t="inlineStr">
        <is>
          <t>Follow-up visit</t>
        </is>
      </c>
      <c r="I196" s="9">
        <f>IF($H196="","",IFERROR(INDEX('Settings'!$J$10:$J$39,MATCH($H196,'Settings'!$I$10:$I$39,0)),""))</f>
        <v/>
      </c>
      <c r="J196" s="6" t="n">
        <v>1</v>
      </c>
      <c r="K196" s="8" t="n">
        <v>150</v>
      </c>
      <c r="L196" s="8" t="n"/>
      <c r="M196" s="14">
        <f>IF($A196="","",$J196*$K196)</f>
        <v/>
      </c>
      <c r="N196" s="14">
        <f>IF($A196="","",$M196-$L196)</f>
        <v/>
      </c>
      <c r="O196" s="4" t="inlineStr">
        <is>
          <t>Transfer</t>
        </is>
      </c>
      <c r="P196" s="15">
        <f>IF($A196="","",DATE(YEAR($A196),MONTH($A196),1))</f>
        <v/>
      </c>
      <c r="Q196" s="16">
        <f>IF($H196="","",$J196*IFERROR(INDEX('Settings'!$L$10:$L$39,MATCH($H196,'Settings'!$I$10:$I$39,0)),0))</f>
        <v/>
      </c>
      <c r="R196" s="17">
        <f>IF($A196="","",$A196-WEEKDAY($A196,2)+1)</f>
        <v/>
      </c>
    </row>
    <row r="197">
      <c r="A197" s="5" t="n">
        <v>46221</v>
      </c>
      <c r="B197" s="4" t="inlineStr">
        <is>
          <t>North branch</t>
        </is>
      </c>
      <c r="C197" s="4" t="inlineStr">
        <is>
          <t>North 1</t>
        </is>
      </c>
      <c r="D197" s="4" t="inlineStr">
        <is>
          <t>Dr Layla Al Qahtani</t>
        </is>
      </c>
      <c r="E197" s="4" t="inlineStr">
        <is>
          <t>P-3296</t>
        </is>
      </c>
      <c r="F197" s="4" t="inlineStr">
        <is>
          <t>Returning</t>
        </is>
      </c>
      <c r="G197" s="4" t="inlineStr">
        <is>
          <t>Google</t>
        </is>
      </c>
      <c r="H197" s="4" t="inlineStr">
        <is>
          <t>Sunscreen cream</t>
        </is>
      </c>
      <c r="I197" s="9">
        <f>IF($H197="","",IFERROR(INDEX('Settings'!$J$10:$J$39,MATCH($H197,'Settings'!$I$10:$I$39,0)),""))</f>
        <v/>
      </c>
      <c r="J197" s="6" t="n">
        <v>2</v>
      </c>
      <c r="K197" s="8" t="n">
        <v>120</v>
      </c>
      <c r="L197" s="8" t="n"/>
      <c r="M197" s="14">
        <f>IF($A197="","",$J197*$K197)</f>
        <v/>
      </c>
      <c r="N197" s="14">
        <f>IF($A197="","",$M197-$L197)</f>
        <v/>
      </c>
      <c r="O197" s="4" t="inlineStr">
        <is>
          <t>Card</t>
        </is>
      </c>
      <c r="P197" s="15">
        <f>IF($A197="","",DATE(YEAR($A197),MONTH($A197),1))</f>
        <v/>
      </c>
      <c r="Q197" s="16">
        <f>IF($H197="","",$J197*IFERROR(INDEX('Settings'!$L$10:$L$39,MATCH($H197,'Settings'!$I$10:$I$39,0)),0))</f>
        <v/>
      </c>
      <c r="R197" s="17">
        <f>IF($A197="","",$A197-WEEKDAY($A197,2)+1)</f>
        <v/>
      </c>
    </row>
    <row r="198">
      <c r="A198" s="5" t="n">
        <v>46221</v>
      </c>
      <c r="B198" s="4" t="inlineStr">
        <is>
          <t>North branch</t>
        </is>
      </c>
      <c r="C198" s="4" t="inlineStr">
        <is>
          <t>North 1</t>
        </is>
      </c>
      <c r="D198" s="4" t="inlineStr">
        <is>
          <t>Dr Layla Al Qahtani</t>
        </is>
      </c>
      <c r="E198" s="4" t="inlineStr">
        <is>
          <t>P-2754</t>
        </is>
      </c>
      <c r="F198" s="4" t="inlineStr">
        <is>
          <t>Returning</t>
        </is>
      </c>
      <c r="G198" s="4" t="inlineStr">
        <is>
          <t>Instagram</t>
        </is>
      </c>
      <c r="H198" s="4" t="inlineStr">
        <is>
          <t>Laser session, face</t>
        </is>
      </c>
      <c r="I198" s="9">
        <f>IF($H198="","",IFERROR(INDEX('Settings'!$J$10:$J$39,MATCH($H198,'Settings'!$I$10:$I$39,0)),""))</f>
        <v/>
      </c>
      <c r="J198" s="6" t="n">
        <v>1</v>
      </c>
      <c r="K198" s="8" t="n">
        <v>600</v>
      </c>
      <c r="L198" s="8" t="n">
        <v>90</v>
      </c>
      <c r="M198" s="14">
        <f>IF($A198="","",$J198*$K198)</f>
        <v/>
      </c>
      <c r="N198" s="14">
        <f>IF($A198="","",$M198-$L198)</f>
        <v/>
      </c>
      <c r="O198" s="4" t="inlineStr">
        <is>
          <t>Payment link</t>
        </is>
      </c>
      <c r="P198" s="15">
        <f>IF($A198="","",DATE(YEAR($A198),MONTH($A198),1))</f>
        <v/>
      </c>
      <c r="Q198" s="16">
        <f>IF($H198="","",$J198*IFERROR(INDEX('Settings'!$L$10:$L$39,MATCH($H198,'Settings'!$I$10:$I$39,0)),0))</f>
        <v/>
      </c>
      <c r="R198" s="17">
        <f>IF($A198="","",$A198-WEEKDAY($A198,2)+1)</f>
        <v/>
      </c>
    </row>
    <row r="199">
      <c r="A199" s="5" t="n">
        <v>46221</v>
      </c>
      <c r="B199" s="4" t="inlineStr">
        <is>
          <t>North branch</t>
        </is>
      </c>
      <c r="C199" s="4" t="inlineStr">
        <is>
          <t>North 1</t>
        </is>
      </c>
      <c r="D199" s="4" t="inlineStr">
        <is>
          <t>Dr Khaled Youssef</t>
        </is>
      </c>
      <c r="E199" s="4" t="inlineStr">
        <is>
          <t>P-2741</t>
        </is>
      </c>
      <c r="F199" s="4" t="inlineStr">
        <is>
          <t>Returning</t>
        </is>
      </c>
      <c r="G199" s="4" t="inlineStr">
        <is>
          <t>Referral</t>
        </is>
      </c>
      <c r="H199" s="4" t="inlineStr">
        <is>
          <t>Chemical peel</t>
        </is>
      </c>
      <c r="I199" s="9">
        <f>IF($H199="","",IFERROR(INDEX('Settings'!$J$10:$J$39,MATCH($H199,'Settings'!$I$10:$I$39,0)),""))</f>
        <v/>
      </c>
      <c r="J199" s="6" t="n">
        <v>1</v>
      </c>
      <c r="K199" s="8" t="n">
        <v>800</v>
      </c>
      <c r="L199" s="8" t="n"/>
      <c r="M199" s="14">
        <f>IF($A199="","",$J199*$K199)</f>
        <v/>
      </c>
      <c r="N199" s="14">
        <f>IF($A199="","",$M199-$L199)</f>
        <v/>
      </c>
      <c r="O199" s="4" t="inlineStr">
        <is>
          <t>Cash</t>
        </is>
      </c>
      <c r="P199" s="15">
        <f>IF($A199="","",DATE(YEAR($A199),MONTH($A199),1))</f>
        <v/>
      </c>
      <c r="Q199" s="16">
        <f>IF($H199="","",$J199*IFERROR(INDEX('Settings'!$L$10:$L$39,MATCH($H199,'Settings'!$I$10:$I$39,0)),0))</f>
        <v/>
      </c>
      <c r="R199" s="17">
        <f>IF($A199="","",$A199-WEEKDAY($A199,2)+1)</f>
        <v/>
      </c>
    </row>
    <row r="200">
      <c r="A200" s="5" t="n">
        <v>46221</v>
      </c>
      <c r="B200" s="4" t="inlineStr">
        <is>
          <t>North branch</t>
        </is>
      </c>
      <c r="C200" s="4" t="inlineStr">
        <is>
          <t>North 1</t>
        </is>
      </c>
      <c r="D200" s="4" t="inlineStr">
        <is>
          <t>Dr Khaled Youssef</t>
        </is>
      </c>
      <c r="E200" s="4" t="inlineStr">
        <is>
          <t>P-2621</t>
        </is>
      </c>
      <c r="F200" s="4" t="inlineStr">
        <is>
          <t>Returning</t>
        </is>
      </c>
      <c r="G200" s="4" t="inlineStr">
        <is>
          <t>Walk-in</t>
        </is>
      </c>
      <c r="H200" s="4" t="inlineStr">
        <is>
          <t>Skin tag removal</t>
        </is>
      </c>
      <c r="I200" s="9">
        <f>IF($H200="","",IFERROR(INDEX('Settings'!$J$10:$J$39,MATCH($H200,'Settings'!$I$10:$I$39,0)),""))</f>
        <v/>
      </c>
      <c r="J200" s="6" t="n">
        <v>1</v>
      </c>
      <c r="K200" s="8" t="n">
        <v>500</v>
      </c>
      <c r="L200" s="8" t="n"/>
      <c r="M200" s="14">
        <f>IF($A200="","",$J200*$K200)</f>
        <v/>
      </c>
      <c r="N200" s="14">
        <f>IF($A200="","",$M200-$L200)</f>
        <v/>
      </c>
      <c r="O200" s="4" t="inlineStr">
        <is>
          <t>Card</t>
        </is>
      </c>
      <c r="P200" s="15">
        <f>IF($A200="","",DATE(YEAR($A200),MONTH($A200),1))</f>
        <v/>
      </c>
      <c r="Q200" s="16">
        <f>IF($H200="","",$J200*IFERROR(INDEX('Settings'!$L$10:$L$39,MATCH($H200,'Settings'!$I$10:$I$39,0)),0))</f>
        <v/>
      </c>
      <c r="R200" s="17">
        <f>IF($A200="","",$A200-WEEKDAY($A200,2)+1)</f>
        <v/>
      </c>
    </row>
    <row r="201">
      <c r="A201" s="5" t="n">
        <v>46221</v>
      </c>
      <c r="B201" s="4" t="inlineStr">
        <is>
          <t>North branch</t>
        </is>
      </c>
      <c r="C201" s="4" t="inlineStr">
        <is>
          <t>North 2</t>
        </is>
      </c>
      <c r="D201" s="4" t="inlineStr">
        <is>
          <t>Dr Mohamed Adel</t>
        </is>
      </c>
      <c r="E201" s="4" t="inlineStr">
        <is>
          <t>P-3403</t>
        </is>
      </c>
      <c r="F201" s="4" t="inlineStr">
        <is>
          <t>Returning</t>
        </is>
      </c>
      <c r="G201" s="4" t="inlineStr">
        <is>
          <t>Instagram</t>
        </is>
      </c>
      <c r="H201" s="4" t="inlineStr">
        <is>
          <t>Skin tag removal</t>
        </is>
      </c>
      <c r="I201" s="9">
        <f>IF($H201="","",IFERROR(INDEX('Settings'!$J$10:$J$39,MATCH($H201,'Settings'!$I$10:$I$39,0)),""))</f>
        <v/>
      </c>
      <c r="J201" s="6" t="n">
        <v>1</v>
      </c>
      <c r="K201" s="8" t="n">
        <v>500</v>
      </c>
      <c r="L201" s="8" t="n"/>
      <c r="M201" s="14">
        <f>IF($A201="","",$J201*$K201)</f>
        <v/>
      </c>
      <c r="N201" s="14">
        <f>IF($A201="","",$M201-$L201)</f>
        <v/>
      </c>
      <c r="O201" s="4" t="inlineStr">
        <is>
          <t>Card</t>
        </is>
      </c>
      <c r="P201" s="15">
        <f>IF($A201="","",DATE(YEAR($A201),MONTH($A201),1))</f>
        <v/>
      </c>
      <c r="Q201" s="16">
        <f>IF($H201="","",$J201*IFERROR(INDEX('Settings'!$L$10:$L$39,MATCH($H201,'Settings'!$I$10:$I$39,0)),0))</f>
        <v/>
      </c>
      <c r="R201" s="17">
        <f>IF($A201="","",$A201-WEEKDAY($A201,2)+1)</f>
        <v/>
      </c>
    </row>
    <row r="202">
      <c r="A202" s="5" t="n">
        <v>46222</v>
      </c>
      <c r="B202" s="4" t="inlineStr">
        <is>
          <t>Main branch</t>
        </is>
      </c>
      <c r="C202" s="4" t="inlineStr">
        <is>
          <t>Main 1</t>
        </is>
      </c>
      <c r="D202" s="4" t="inlineStr">
        <is>
          <t>Dr Sara Al Harbi</t>
        </is>
      </c>
      <c r="E202" s="4" t="inlineStr">
        <is>
          <t>P-2665</t>
        </is>
      </c>
      <c r="F202" s="4" t="inlineStr">
        <is>
          <t>Returning</t>
        </is>
      </c>
      <c r="G202" s="4" t="inlineStr">
        <is>
          <t>WhatsApp</t>
        </is>
      </c>
      <c r="H202" s="4" t="inlineStr">
        <is>
          <t>Physiotherapy session</t>
        </is>
      </c>
      <c r="I202" s="9">
        <f>IF($H202="","",IFERROR(INDEX('Settings'!$J$10:$J$39,MATCH($H202,'Settings'!$I$10:$I$39,0)),""))</f>
        <v/>
      </c>
      <c r="J202" s="6" t="n">
        <v>1</v>
      </c>
      <c r="K202" s="8" t="n">
        <v>300</v>
      </c>
      <c r="L202" s="8" t="n"/>
      <c r="M202" s="14">
        <f>IF($A202="","",$J202*$K202)</f>
        <v/>
      </c>
      <c r="N202" s="14">
        <f>IF($A202="","",$M202-$L202)</f>
        <v/>
      </c>
      <c r="O202" s="4" t="inlineStr">
        <is>
          <t>Cash</t>
        </is>
      </c>
      <c r="P202" s="15">
        <f>IF($A202="","",DATE(YEAR($A202),MONTH($A202),1))</f>
        <v/>
      </c>
      <c r="Q202" s="16">
        <f>IF($H202="","",$J202*IFERROR(INDEX('Settings'!$L$10:$L$39,MATCH($H202,'Settings'!$I$10:$I$39,0)),0))</f>
        <v/>
      </c>
      <c r="R202" s="17">
        <f>IF($A202="","",$A202-WEEKDAY($A202,2)+1)</f>
        <v/>
      </c>
    </row>
    <row r="203">
      <c r="A203" s="5" t="n">
        <v>46222</v>
      </c>
      <c r="B203" s="4" t="inlineStr">
        <is>
          <t>Main branch</t>
        </is>
      </c>
      <c r="C203" s="4" t="inlineStr">
        <is>
          <t>Main 1</t>
        </is>
      </c>
      <c r="D203" s="4" t="inlineStr">
        <is>
          <t>Dr Sara Al Harbi</t>
        </is>
      </c>
      <c r="E203" s="4" t="inlineStr">
        <is>
          <t>P-3069</t>
        </is>
      </c>
      <c r="F203" s="4" t="inlineStr">
        <is>
          <t>Returning</t>
        </is>
      </c>
      <c r="G203" s="4" t="inlineStr">
        <is>
          <t>Instagram</t>
        </is>
      </c>
      <c r="H203" s="4" t="inlineStr">
        <is>
          <t>Facial cleansing</t>
        </is>
      </c>
      <c r="I203" s="9">
        <f>IF($H203="","",IFERROR(INDEX('Settings'!$J$10:$J$39,MATCH($H203,'Settings'!$I$10:$I$39,0)),""))</f>
        <v/>
      </c>
      <c r="J203" s="6" t="n">
        <v>1</v>
      </c>
      <c r="K203" s="8" t="n">
        <v>400</v>
      </c>
      <c r="L203" s="8" t="n"/>
      <c r="M203" s="14">
        <f>IF($A203="","",$J203*$K203)</f>
        <v/>
      </c>
      <c r="N203" s="14">
        <f>IF($A203="","",$M203-$L203)</f>
        <v/>
      </c>
      <c r="O203" s="4" t="inlineStr">
        <is>
          <t>Cash</t>
        </is>
      </c>
      <c r="P203" s="15">
        <f>IF($A203="","",DATE(YEAR($A203),MONTH($A203),1))</f>
        <v/>
      </c>
      <c r="Q203" s="16">
        <f>IF($H203="","",$J203*IFERROR(INDEX('Settings'!$L$10:$L$39,MATCH($H203,'Settings'!$I$10:$I$39,0)),0))</f>
        <v/>
      </c>
      <c r="R203" s="17">
        <f>IF($A203="","",$A203-WEEKDAY($A203,2)+1)</f>
        <v/>
      </c>
    </row>
    <row r="204">
      <c r="A204" s="5" t="n">
        <v>46222</v>
      </c>
      <c r="B204" s="4" t="inlineStr">
        <is>
          <t>Main branch</t>
        </is>
      </c>
      <c r="C204" s="4" t="inlineStr">
        <is>
          <t>Main 1</t>
        </is>
      </c>
      <c r="D204" s="4" t="inlineStr">
        <is>
          <t>Dr Ahmed Mansour</t>
        </is>
      </c>
      <c r="E204" s="4" t="inlineStr">
        <is>
          <t>P-3208</t>
        </is>
      </c>
      <c r="F204" s="4" t="inlineStr">
        <is>
          <t>Returning</t>
        </is>
      </c>
      <c r="G204" s="4" t="inlineStr">
        <is>
          <t>Instagram</t>
        </is>
      </c>
      <c r="H204" s="4" t="inlineStr">
        <is>
          <t>Physiotherapy session</t>
        </is>
      </c>
      <c r="I204" s="9">
        <f>IF($H204="","",IFERROR(INDEX('Settings'!$J$10:$J$39,MATCH($H204,'Settings'!$I$10:$I$39,0)),""))</f>
        <v/>
      </c>
      <c r="J204" s="6" t="n">
        <v>1</v>
      </c>
      <c r="K204" s="8" t="n">
        <v>300</v>
      </c>
      <c r="L204" s="8" t="n">
        <v>30</v>
      </c>
      <c r="M204" s="14">
        <f>IF($A204="","",$J204*$K204)</f>
        <v/>
      </c>
      <c r="N204" s="14">
        <f>IF($A204="","",$M204-$L204)</f>
        <v/>
      </c>
      <c r="O204" s="4" t="inlineStr">
        <is>
          <t>Transfer</t>
        </is>
      </c>
      <c r="P204" s="15">
        <f>IF($A204="","",DATE(YEAR($A204),MONTH($A204),1))</f>
        <v/>
      </c>
      <c r="Q204" s="16">
        <f>IF($H204="","",$J204*IFERROR(INDEX('Settings'!$L$10:$L$39,MATCH($H204,'Settings'!$I$10:$I$39,0)),0))</f>
        <v/>
      </c>
      <c r="R204" s="17">
        <f>IF($A204="","",$A204-WEEKDAY($A204,2)+1)</f>
        <v/>
      </c>
    </row>
    <row r="205">
      <c r="A205" s="5" t="n">
        <v>46222</v>
      </c>
      <c r="B205" s="4" t="inlineStr">
        <is>
          <t>Main branch</t>
        </is>
      </c>
      <c r="C205" s="4" t="inlineStr">
        <is>
          <t>Main 2</t>
        </is>
      </c>
      <c r="D205" s="4" t="inlineStr">
        <is>
          <t>Dr Ahmed Mansour</t>
        </is>
      </c>
      <c r="E205" s="4" t="inlineStr">
        <is>
          <t>P-2405</t>
        </is>
      </c>
      <c r="F205" s="4" t="inlineStr">
        <is>
          <t>Returning</t>
        </is>
      </c>
      <c r="G205" s="4" t="inlineStr">
        <is>
          <t>Instagram</t>
        </is>
      </c>
      <c r="H205" s="4" t="inlineStr">
        <is>
          <t>Filler injection</t>
        </is>
      </c>
      <c r="I205" s="9">
        <f>IF($H205="","",IFERROR(INDEX('Settings'!$J$10:$J$39,MATCH($H205,'Settings'!$I$10:$I$39,0)),""))</f>
        <v/>
      </c>
      <c r="J205" s="6" t="n">
        <v>1</v>
      </c>
      <c r="K205" s="8" t="n">
        <v>1800</v>
      </c>
      <c r="L205" s="8" t="n"/>
      <c r="M205" s="14">
        <f>IF($A205="","",$J205*$K205)</f>
        <v/>
      </c>
      <c r="N205" s="14">
        <f>IF($A205="","",$M205-$L205)</f>
        <v/>
      </c>
      <c r="O205" s="4" t="inlineStr">
        <is>
          <t>Insurance</t>
        </is>
      </c>
      <c r="P205" s="15">
        <f>IF($A205="","",DATE(YEAR($A205),MONTH($A205),1))</f>
        <v/>
      </c>
      <c r="Q205" s="16">
        <f>IF($H205="","",$J205*IFERROR(INDEX('Settings'!$L$10:$L$39,MATCH($H205,'Settings'!$I$10:$I$39,0)),0))</f>
        <v/>
      </c>
      <c r="R205" s="17">
        <f>IF($A205="","",$A205-WEEKDAY($A205,2)+1)</f>
        <v/>
      </c>
    </row>
    <row r="206">
      <c r="A206" s="5" t="n">
        <v>46222</v>
      </c>
      <c r="B206" s="4" t="inlineStr">
        <is>
          <t>Main branch</t>
        </is>
      </c>
      <c r="C206" s="4" t="inlineStr">
        <is>
          <t>Main 2</t>
        </is>
      </c>
      <c r="D206" s="4" t="inlineStr">
        <is>
          <t>Dr Ahmed Mansour</t>
        </is>
      </c>
      <c r="E206" s="4" t="inlineStr">
        <is>
          <t>P-2735</t>
        </is>
      </c>
      <c r="F206" s="4" t="inlineStr">
        <is>
          <t>New</t>
        </is>
      </c>
      <c r="G206" s="4" t="inlineStr">
        <is>
          <t>Instagram</t>
        </is>
      </c>
      <c r="H206" s="4" t="inlineStr">
        <is>
          <t>Sunscreen cream</t>
        </is>
      </c>
      <c r="I206" s="9">
        <f>IF($H206="","",IFERROR(INDEX('Settings'!$J$10:$J$39,MATCH($H206,'Settings'!$I$10:$I$39,0)),""))</f>
        <v/>
      </c>
      <c r="J206" s="6" t="n">
        <v>1</v>
      </c>
      <c r="K206" s="8" t="n">
        <v>120</v>
      </c>
      <c r="L206" s="8" t="n"/>
      <c r="M206" s="14">
        <f>IF($A206="","",$J206*$K206)</f>
        <v/>
      </c>
      <c r="N206" s="14">
        <f>IF($A206="","",$M206-$L206)</f>
        <v/>
      </c>
      <c r="O206" s="4" t="inlineStr">
        <is>
          <t>Cash</t>
        </is>
      </c>
      <c r="P206" s="15">
        <f>IF($A206="","",DATE(YEAR($A206),MONTH($A206),1))</f>
        <v/>
      </c>
      <c r="Q206" s="16">
        <f>IF($H206="","",$J206*IFERROR(INDEX('Settings'!$L$10:$L$39,MATCH($H206,'Settings'!$I$10:$I$39,0)),0))</f>
        <v/>
      </c>
      <c r="R206" s="17">
        <f>IF($A206="","",$A206-WEEKDAY($A206,2)+1)</f>
        <v/>
      </c>
    </row>
    <row r="207">
      <c r="A207" s="5" t="n">
        <v>46222</v>
      </c>
      <c r="B207" s="4" t="inlineStr">
        <is>
          <t>Main branch</t>
        </is>
      </c>
      <c r="C207" s="4" t="inlineStr">
        <is>
          <t>Main 3</t>
        </is>
      </c>
      <c r="D207" s="4" t="inlineStr">
        <is>
          <t>Dr Sara Al Harbi</t>
        </is>
      </c>
      <c r="E207" s="4" t="inlineStr">
        <is>
          <t>P-2778</t>
        </is>
      </c>
      <c r="F207" s="4" t="inlineStr">
        <is>
          <t>New</t>
        </is>
      </c>
      <c r="G207" s="4" t="inlineStr">
        <is>
          <t>Instagram</t>
        </is>
      </c>
      <c r="H207" s="4" t="inlineStr">
        <is>
          <t>Botulinum toxin</t>
        </is>
      </c>
      <c r="I207" s="9">
        <f>IF($H207="","",IFERROR(INDEX('Settings'!$J$10:$J$39,MATCH($H207,'Settings'!$I$10:$I$39,0)),""))</f>
        <v/>
      </c>
      <c r="J207" s="6" t="n">
        <v>1</v>
      </c>
      <c r="K207" s="8" t="n">
        <v>1500</v>
      </c>
      <c r="L207" s="8" t="n"/>
      <c r="M207" s="14">
        <f>IF($A207="","",$J207*$K207)</f>
        <v/>
      </c>
      <c r="N207" s="14">
        <f>IF($A207="","",$M207-$L207)</f>
        <v/>
      </c>
      <c r="O207" s="4" t="inlineStr">
        <is>
          <t>Cash</t>
        </is>
      </c>
      <c r="P207" s="15">
        <f>IF($A207="","",DATE(YEAR($A207),MONTH($A207),1))</f>
        <v/>
      </c>
      <c r="Q207" s="16">
        <f>IF($H207="","",$J207*IFERROR(INDEX('Settings'!$L$10:$L$39,MATCH($H207,'Settings'!$I$10:$I$39,0)),0))</f>
        <v/>
      </c>
      <c r="R207" s="17">
        <f>IF($A207="","",$A207-WEEKDAY($A207,2)+1)</f>
        <v/>
      </c>
    </row>
    <row r="208">
      <c r="A208" s="5" t="n">
        <v>46222</v>
      </c>
      <c r="B208" s="4" t="inlineStr">
        <is>
          <t>Main branch</t>
        </is>
      </c>
      <c r="C208" s="4" t="inlineStr">
        <is>
          <t>Main 3</t>
        </is>
      </c>
      <c r="D208" s="4" t="inlineStr">
        <is>
          <t>Dr Noura Al Subaie</t>
        </is>
      </c>
      <c r="E208" s="4" t="inlineStr">
        <is>
          <t>P-3134</t>
        </is>
      </c>
      <c r="F208" s="4" t="inlineStr">
        <is>
          <t>Returning</t>
        </is>
      </c>
      <c r="G208" s="4" t="inlineStr">
        <is>
          <t>Instagram</t>
        </is>
      </c>
      <c r="H208" s="4" t="inlineStr">
        <is>
          <t>Specialist consultation</t>
        </is>
      </c>
      <c r="I208" s="9">
        <f>IF($H208="","",IFERROR(INDEX('Settings'!$J$10:$J$39,MATCH($H208,'Settings'!$I$10:$I$39,0)),""))</f>
        <v/>
      </c>
      <c r="J208" s="6" t="n">
        <v>1</v>
      </c>
      <c r="K208" s="8" t="n">
        <v>350</v>
      </c>
      <c r="L208" s="8" t="n"/>
      <c r="M208" s="14">
        <f>IF($A208="","",$J208*$K208)</f>
        <v/>
      </c>
      <c r="N208" s="14">
        <f>IF($A208="","",$M208-$L208)</f>
        <v/>
      </c>
      <c r="O208" s="4" t="inlineStr">
        <is>
          <t>Card</t>
        </is>
      </c>
      <c r="P208" s="15">
        <f>IF($A208="","",DATE(YEAR($A208),MONTH($A208),1))</f>
        <v/>
      </c>
      <c r="Q208" s="16">
        <f>IF($H208="","",$J208*IFERROR(INDEX('Settings'!$L$10:$L$39,MATCH($H208,'Settings'!$I$10:$I$39,0)),0))</f>
        <v/>
      </c>
      <c r="R208" s="17">
        <f>IF($A208="","",$A208-WEEKDAY($A208,2)+1)</f>
        <v/>
      </c>
    </row>
    <row r="209">
      <c r="A209" s="5" t="n">
        <v>46222</v>
      </c>
      <c r="B209" s="4" t="inlineStr">
        <is>
          <t>North branch</t>
        </is>
      </c>
      <c r="C209" s="4" t="inlineStr">
        <is>
          <t>North 1</t>
        </is>
      </c>
      <c r="D209" s="4" t="inlineStr">
        <is>
          <t>Dr Khaled Youssef</t>
        </is>
      </c>
      <c r="E209" s="4" t="inlineStr">
        <is>
          <t>P-2152</t>
        </is>
      </c>
      <c r="F209" s="4" t="inlineStr">
        <is>
          <t>New</t>
        </is>
      </c>
      <c r="G209" s="4" t="inlineStr">
        <is>
          <t>Google</t>
        </is>
      </c>
      <c r="H209" s="4" t="inlineStr">
        <is>
          <t>Skin tag removal</t>
        </is>
      </c>
      <c r="I209" s="9">
        <f>IF($H209="","",IFERROR(INDEX('Settings'!$J$10:$J$39,MATCH($H209,'Settings'!$I$10:$I$39,0)),""))</f>
        <v/>
      </c>
      <c r="J209" s="6" t="n">
        <v>1</v>
      </c>
      <c r="K209" s="8" t="n">
        <v>500</v>
      </c>
      <c r="L209" s="8" t="n"/>
      <c r="M209" s="14">
        <f>IF($A209="","",$J209*$K209)</f>
        <v/>
      </c>
      <c r="N209" s="14">
        <f>IF($A209="","",$M209-$L209)</f>
        <v/>
      </c>
      <c r="O209" s="4" t="inlineStr">
        <is>
          <t>Card</t>
        </is>
      </c>
      <c r="P209" s="15">
        <f>IF($A209="","",DATE(YEAR($A209),MONTH($A209),1))</f>
        <v/>
      </c>
      <c r="Q209" s="16">
        <f>IF($H209="","",$J209*IFERROR(INDEX('Settings'!$L$10:$L$39,MATCH($H209,'Settings'!$I$10:$I$39,0)),0))</f>
        <v/>
      </c>
      <c r="R209" s="17">
        <f>IF($A209="","",$A209-WEEKDAY($A209,2)+1)</f>
        <v/>
      </c>
    </row>
    <row r="210">
      <c r="A210" s="5" t="n">
        <v>46222</v>
      </c>
      <c r="B210" s="4" t="inlineStr">
        <is>
          <t>North branch</t>
        </is>
      </c>
      <c r="C210" s="4" t="inlineStr">
        <is>
          <t>North 1</t>
        </is>
      </c>
      <c r="D210" s="4" t="inlineStr">
        <is>
          <t>Dr Layla Al Qahtani</t>
        </is>
      </c>
      <c r="E210" s="4" t="inlineStr">
        <is>
          <t>P-3236</t>
        </is>
      </c>
      <c r="F210" s="4" t="inlineStr">
        <is>
          <t>Returning</t>
        </is>
      </c>
      <c r="G210" s="4" t="inlineStr">
        <is>
          <t>Google</t>
        </is>
      </c>
      <c r="H210" s="4" t="inlineStr">
        <is>
          <t>Laser session, face</t>
        </is>
      </c>
      <c r="I210" s="9">
        <f>IF($H210="","",IFERROR(INDEX('Settings'!$J$10:$J$39,MATCH($H210,'Settings'!$I$10:$I$39,0)),""))</f>
        <v/>
      </c>
      <c r="J210" s="6" t="n">
        <v>1</v>
      </c>
      <c r="K210" s="8" t="n">
        <v>600</v>
      </c>
      <c r="L210" s="8" t="n"/>
      <c r="M210" s="14">
        <f>IF($A210="","",$J210*$K210)</f>
        <v/>
      </c>
      <c r="N210" s="14">
        <f>IF($A210="","",$M210-$L210)</f>
        <v/>
      </c>
      <c r="O210" s="4" t="inlineStr">
        <is>
          <t>Card</t>
        </is>
      </c>
      <c r="P210" s="15">
        <f>IF($A210="","",DATE(YEAR($A210),MONTH($A210),1))</f>
        <v/>
      </c>
      <c r="Q210" s="16">
        <f>IF($H210="","",$J210*IFERROR(INDEX('Settings'!$L$10:$L$39,MATCH($H210,'Settings'!$I$10:$I$39,0)),0))</f>
        <v/>
      </c>
      <c r="R210" s="17">
        <f>IF($A210="","",$A210-WEEKDAY($A210,2)+1)</f>
        <v/>
      </c>
    </row>
    <row r="211">
      <c r="A211" s="5" t="n">
        <v>46222</v>
      </c>
      <c r="B211" s="4" t="inlineStr">
        <is>
          <t>North branch</t>
        </is>
      </c>
      <c r="C211" s="4" t="inlineStr">
        <is>
          <t>North 1</t>
        </is>
      </c>
      <c r="D211" s="4" t="inlineStr">
        <is>
          <t>Dr Mohamed Adel</t>
        </is>
      </c>
      <c r="E211" s="4" t="inlineStr">
        <is>
          <t>P-2893</t>
        </is>
      </c>
      <c r="F211" s="4" t="inlineStr">
        <is>
          <t>Returning</t>
        </is>
      </c>
      <c r="G211" s="4" t="inlineStr">
        <is>
          <t>Instagram</t>
        </is>
      </c>
      <c r="H211" s="4" t="inlineStr">
        <is>
          <t>Follow-up visit</t>
        </is>
      </c>
      <c r="I211" s="9">
        <f>IF($H211="","",IFERROR(INDEX('Settings'!$J$10:$J$39,MATCH($H211,'Settings'!$I$10:$I$39,0)),""))</f>
        <v/>
      </c>
      <c r="J211" s="6" t="n">
        <v>1</v>
      </c>
      <c r="K211" s="8" t="n">
        <v>150</v>
      </c>
      <c r="L211" s="8" t="n"/>
      <c r="M211" s="14">
        <f>IF($A211="","",$J211*$K211)</f>
        <v/>
      </c>
      <c r="N211" s="14">
        <f>IF($A211="","",$M211-$L211)</f>
        <v/>
      </c>
      <c r="O211" s="4" t="inlineStr">
        <is>
          <t>Card</t>
        </is>
      </c>
      <c r="P211" s="15">
        <f>IF($A211="","",DATE(YEAR($A211),MONTH($A211),1))</f>
        <v/>
      </c>
      <c r="Q211" s="16">
        <f>IF($H211="","",$J211*IFERROR(INDEX('Settings'!$L$10:$L$39,MATCH($H211,'Settings'!$I$10:$I$39,0)),0))</f>
        <v/>
      </c>
      <c r="R211" s="17">
        <f>IF($A211="","",$A211-WEEKDAY($A211,2)+1)</f>
        <v/>
      </c>
    </row>
    <row r="212">
      <c r="A212" s="5" t="n">
        <v>46222</v>
      </c>
      <c r="B212" s="4" t="inlineStr">
        <is>
          <t>North branch</t>
        </is>
      </c>
      <c r="C212" s="4" t="inlineStr">
        <is>
          <t>North 2</t>
        </is>
      </c>
      <c r="D212" s="4" t="inlineStr">
        <is>
          <t>Dr Layla Al Qahtani</t>
        </is>
      </c>
      <c r="E212" s="4" t="inlineStr">
        <is>
          <t>P-2631</t>
        </is>
      </c>
      <c r="F212" s="4" t="inlineStr">
        <is>
          <t>Returning</t>
        </is>
      </c>
      <c r="G212" s="4" t="inlineStr">
        <is>
          <t>Instagram</t>
        </is>
      </c>
      <c r="H212" s="4" t="inlineStr">
        <is>
          <t>Specialist consultation</t>
        </is>
      </c>
      <c r="I212" s="9">
        <f>IF($H212="","",IFERROR(INDEX('Settings'!$J$10:$J$39,MATCH($H212,'Settings'!$I$10:$I$39,0)),""))</f>
        <v/>
      </c>
      <c r="J212" s="6" t="n">
        <v>1</v>
      </c>
      <c r="K212" s="8" t="n">
        <v>350</v>
      </c>
      <c r="L212" s="8" t="n"/>
      <c r="M212" s="14">
        <f>IF($A212="","",$J212*$K212)</f>
        <v/>
      </c>
      <c r="N212" s="14">
        <f>IF($A212="","",$M212-$L212)</f>
        <v/>
      </c>
      <c r="O212" s="4" t="inlineStr">
        <is>
          <t>Cash</t>
        </is>
      </c>
      <c r="P212" s="15">
        <f>IF($A212="","",DATE(YEAR($A212),MONTH($A212),1))</f>
        <v/>
      </c>
      <c r="Q212" s="16">
        <f>IF($H212="","",$J212*IFERROR(INDEX('Settings'!$L$10:$L$39,MATCH($H212,'Settings'!$I$10:$I$39,0)),0))</f>
        <v/>
      </c>
      <c r="R212" s="17">
        <f>IF($A212="","",$A212-WEEKDAY($A212,2)+1)</f>
        <v/>
      </c>
    </row>
    <row r="213">
      <c r="A213" s="5" t="n">
        <v>46222</v>
      </c>
      <c r="B213" s="4" t="inlineStr">
        <is>
          <t>North branch</t>
        </is>
      </c>
      <c r="C213" s="4" t="inlineStr">
        <is>
          <t>North 2</t>
        </is>
      </c>
      <c r="D213" s="4" t="inlineStr">
        <is>
          <t>Dr Layla Al Qahtani</t>
        </is>
      </c>
      <c r="E213" s="4" t="inlineStr">
        <is>
          <t>P-3054</t>
        </is>
      </c>
      <c r="F213" s="4" t="inlineStr">
        <is>
          <t>Returning</t>
        </is>
      </c>
      <c r="G213" s="4" t="inlineStr">
        <is>
          <t>Referral</t>
        </is>
      </c>
      <c r="H213" s="4" t="inlineStr">
        <is>
          <t>Facial cleansing</t>
        </is>
      </c>
      <c r="I213" s="9">
        <f>IF($H213="","",IFERROR(INDEX('Settings'!$J$10:$J$39,MATCH($H213,'Settings'!$I$10:$I$39,0)),""))</f>
        <v/>
      </c>
      <c r="J213" s="6" t="n">
        <v>1</v>
      </c>
      <c r="K213" s="8" t="n">
        <v>400</v>
      </c>
      <c r="L213" s="8" t="n"/>
      <c r="M213" s="14">
        <f>IF($A213="","",$J213*$K213)</f>
        <v/>
      </c>
      <c r="N213" s="14">
        <f>IF($A213="","",$M213-$L213)</f>
        <v/>
      </c>
      <c r="O213" s="4" t="inlineStr">
        <is>
          <t>Insurance</t>
        </is>
      </c>
      <c r="P213" s="15">
        <f>IF($A213="","",DATE(YEAR($A213),MONTH($A213),1))</f>
        <v/>
      </c>
      <c r="Q213" s="16">
        <f>IF($H213="","",$J213*IFERROR(INDEX('Settings'!$L$10:$L$39,MATCH($H213,'Settings'!$I$10:$I$39,0)),0))</f>
        <v/>
      </c>
      <c r="R213" s="17">
        <f>IF($A213="","",$A213-WEEKDAY($A213,2)+1)</f>
        <v/>
      </c>
    </row>
    <row r="214">
      <c r="A214" s="5" t="n">
        <v>46222</v>
      </c>
      <c r="B214" s="4" t="inlineStr">
        <is>
          <t>North branch</t>
        </is>
      </c>
      <c r="C214" s="4" t="inlineStr">
        <is>
          <t>North 2</t>
        </is>
      </c>
      <c r="D214" s="4" t="inlineStr">
        <is>
          <t>Dr Layla Al Qahtani</t>
        </is>
      </c>
      <c r="E214" s="4" t="inlineStr">
        <is>
          <t>P-2928</t>
        </is>
      </c>
      <c r="F214" s="4" t="inlineStr">
        <is>
          <t>Returning</t>
        </is>
      </c>
      <c r="G214" s="4" t="inlineStr">
        <is>
          <t>Instagram</t>
        </is>
      </c>
      <c r="H214" s="4" t="inlineStr">
        <is>
          <t>Facial cleansing</t>
        </is>
      </c>
      <c r="I214" s="9">
        <f>IF($H214="","",IFERROR(INDEX('Settings'!$J$10:$J$39,MATCH($H214,'Settings'!$I$10:$I$39,0)),""))</f>
        <v/>
      </c>
      <c r="J214" s="6" t="n">
        <v>1</v>
      </c>
      <c r="K214" s="8" t="n">
        <v>400</v>
      </c>
      <c r="L214" s="8" t="n"/>
      <c r="M214" s="14">
        <f>IF($A214="","",$J214*$K214)</f>
        <v/>
      </c>
      <c r="N214" s="14">
        <f>IF($A214="","",$M214-$L214)</f>
        <v/>
      </c>
      <c r="O214" s="4" t="inlineStr">
        <is>
          <t>Cash</t>
        </is>
      </c>
      <c r="P214" s="15">
        <f>IF($A214="","",DATE(YEAR($A214),MONTH($A214),1))</f>
        <v/>
      </c>
      <c r="Q214" s="16">
        <f>IF($H214="","",$J214*IFERROR(INDEX('Settings'!$L$10:$L$39,MATCH($H214,'Settings'!$I$10:$I$39,0)),0))</f>
        <v/>
      </c>
      <c r="R214" s="17">
        <f>IF($A214="","",$A214-WEEKDAY($A214,2)+1)</f>
        <v/>
      </c>
    </row>
    <row r="215">
      <c r="A215" s="5" t="n">
        <v>46223</v>
      </c>
      <c r="B215" s="4" t="inlineStr">
        <is>
          <t>Main branch</t>
        </is>
      </c>
      <c r="C215" s="4" t="inlineStr">
        <is>
          <t>Main 1</t>
        </is>
      </c>
      <c r="D215" s="4" t="inlineStr">
        <is>
          <t>Dr Ahmed Mansour</t>
        </is>
      </c>
      <c r="E215" s="4" t="inlineStr">
        <is>
          <t>P-2180</t>
        </is>
      </c>
      <c r="F215" s="4" t="inlineStr">
        <is>
          <t>Returning</t>
        </is>
      </c>
      <c r="G215" s="4" t="inlineStr">
        <is>
          <t>Walk-in</t>
        </is>
      </c>
      <c r="H215" s="4" t="inlineStr">
        <is>
          <t>Laser session, body</t>
        </is>
      </c>
      <c r="I215" s="9">
        <f>IF($H215="","",IFERROR(INDEX('Settings'!$J$10:$J$39,MATCH($H215,'Settings'!$I$10:$I$39,0)),""))</f>
        <v/>
      </c>
      <c r="J215" s="6" t="n">
        <v>1</v>
      </c>
      <c r="K215" s="8" t="n">
        <v>1200</v>
      </c>
      <c r="L215" s="8" t="n"/>
      <c r="M215" s="14">
        <f>IF($A215="","",$J215*$K215)</f>
        <v/>
      </c>
      <c r="N215" s="14">
        <f>IF($A215="","",$M215-$L215)</f>
        <v/>
      </c>
      <c r="O215" s="4" t="inlineStr">
        <is>
          <t>Card</t>
        </is>
      </c>
      <c r="P215" s="15">
        <f>IF($A215="","",DATE(YEAR($A215),MONTH($A215),1))</f>
        <v/>
      </c>
      <c r="Q215" s="16">
        <f>IF($H215="","",$J215*IFERROR(INDEX('Settings'!$L$10:$L$39,MATCH($H215,'Settings'!$I$10:$I$39,0)),0))</f>
        <v/>
      </c>
      <c r="R215" s="17">
        <f>IF($A215="","",$A215-WEEKDAY($A215,2)+1)</f>
        <v/>
      </c>
    </row>
    <row r="216">
      <c r="A216" s="5" t="n">
        <v>46223</v>
      </c>
      <c r="B216" s="4" t="inlineStr">
        <is>
          <t>Main branch</t>
        </is>
      </c>
      <c r="C216" s="4" t="inlineStr">
        <is>
          <t>Main 2</t>
        </is>
      </c>
      <c r="D216" s="4" t="inlineStr">
        <is>
          <t>Dr Noura Al Subaie</t>
        </is>
      </c>
      <c r="E216" s="4" t="inlineStr">
        <is>
          <t>P-3097</t>
        </is>
      </c>
      <c r="F216" s="4" t="inlineStr">
        <is>
          <t>Returning</t>
        </is>
      </c>
      <c r="G216" s="4" t="inlineStr">
        <is>
          <t>Referral</t>
        </is>
      </c>
      <c r="H216" s="4" t="inlineStr">
        <is>
          <t>Follow-up visit</t>
        </is>
      </c>
      <c r="I216" s="9">
        <f>IF($H216="","",IFERROR(INDEX('Settings'!$J$10:$J$39,MATCH($H216,'Settings'!$I$10:$I$39,0)),""))</f>
        <v/>
      </c>
      <c r="J216" s="6" t="n">
        <v>1</v>
      </c>
      <c r="K216" s="8" t="n">
        <v>150</v>
      </c>
      <c r="L216" s="8" t="n"/>
      <c r="M216" s="14">
        <f>IF($A216="","",$J216*$K216)</f>
        <v/>
      </c>
      <c r="N216" s="14">
        <f>IF($A216="","",$M216-$L216)</f>
        <v/>
      </c>
      <c r="O216" s="4" t="inlineStr">
        <is>
          <t>Card</t>
        </is>
      </c>
      <c r="P216" s="15">
        <f>IF($A216="","",DATE(YEAR($A216),MONTH($A216),1))</f>
        <v/>
      </c>
      <c r="Q216" s="16">
        <f>IF($H216="","",$J216*IFERROR(INDEX('Settings'!$L$10:$L$39,MATCH($H216,'Settings'!$I$10:$I$39,0)),0))</f>
        <v/>
      </c>
      <c r="R216" s="17">
        <f>IF($A216="","",$A216-WEEKDAY($A216,2)+1)</f>
        <v/>
      </c>
    </row>
    <row r="217">
      <c r="A217" s="5" t="n">
        <v>46223</v>
      </c>
      <c r="B217" s="4" t="inlineStr">
        <is>
          <t>Main branch</t>
        </is>
      </c>
      <c r="C217" s="4" t="inlineStr">
        <is>
          <t>Main 2</t>
        </is>
      </c>
      <c r="D217" s="4" t="inlineStr">
        <is>
          <t>Dr Sara Al Harbi</t>
        </is>
      </c>
      <c r="E217" s="4" t="inlineStr">
        <is>
          <t>P-2550</t>
        </is>
      </c>
      <c r="F217" s="4" t="inlineStr">
        <is>
          <t>Returning</t>
        </is>
      </c>
      <c r="G217" s="4" t="inlineStr">
        <is>
          <t>Instagram</t>
        </is>
      </c>
      <c r="H217" s="4" t="inlineStr">
        <is>
          <t>Skin tag removal</t>
        </is>
      </c>
      <c r="I217" s="9">
        <f>IF($H217="","",IFERROR(INDEX('Settings'!$J$10:$J$39,MATCH($H217,'Settings'!$I$10:$I$39,0)),""))</f>
        <v/>
      </c>
      <c r="J217" s="6" t="n">
        <v>1</v>
      </c>
      <c r="K217" s="8" t="n">
        <v>500</v>
      </c>
      <c r="L217" s="8" t="n"/>
      <c r="M217" s="14">
        <f>IF($A217="","",$J217*$K217)</f>
        <v/>
      </c>
      <c r="N217" s="14">
        <f>IF($A217="","",$M217-$L217)</f>
        <v/>
      </c>
      <c r="O217" s="4" t="inlineStr">
        <is>
          <t>Payment link</t>
        </is>
      </c>
      <c r="P217" s="15">
        <f>IF($A217="","",DATE(YEAR($A217),MONTH($A217),1))</f>
        <v/>
      </c>
      <c r="Q217" s="16">
        <f>IF($H217="","",$J217*IFERROR(INDEX('Settings'!$L$10:$L$39,MATCH($H217,'Settings'!$I$10:$I$39,0)),0))</f>
        <v/>
      </c>
      <c r="R217" s="17">
        <f>IF($A217="","",$A217-WEEKDAY($A217,2)+1)</f>
        <v/>
      </c>
    </row>
    <row r="218">
      <c r="A218" s="5" t="n">
        <v>46223</v>
      </c>
      <c r="B218" s="4" t="inlineStr">
        <is>
          <t>Main branch</t>
        </is>
      </c>
      <c r="C218" s="4" t="inlineStr">
        <is>
          <t>Main 2</t>
        </is>
      </c>
      <c r="D218" s="4" t="inlineStr">
        <is>
          <t>Dr Ahmed Mansour</t>
        </is>
      </c>
      <c r="E218" s="4" t="inlineStr">
        <is>
          <t>P-2827</t>
        </is>
      </c>
      <c r="F218" s="4" t="inlineStr">
        <is>
          <t>Returning</t>
        </is>
      </c>
      <c r="G218" s="4" t="inlineStr">
        <is>
          <t>Referral</t>
        </is>
      </c>
      <c r="H218" s="4" t="inlineStr">
        <is>
          <t>Vitamin C serum</t>
        </is>
      </c>
      <c r="I218" s="9">
        <f>IF($H218="","",IFERROR(INDEX('Settings'!$J$10:$J$39,MATCH($H218,'Settings'!$I$10:$I$39,0)),""))</f>
        <v/>
      </c>
      <c r="J218" s="6" t="n">
        <v>1</v>
      </c>
      <c r="K218" s="8" t="n">
        <v>220</v>
      </c>
      <c r="L218" s="8" t="n"/>
      <c r="M218" s="14">
        <f>IF($A218="","",$J218*$K218)</f>
        <v/>
      </c>
      <c r="N218" s="14">
        <f>IF($A218="","",$M218-$L218)</f>
        <v/>
      </c>
      <c r="O218" s="4" t="inlineStr">
        <is>
          <t>Card</t>
        </is>
      </c>
      <c r="P218" s="15">
        <f>IF($A218="","",DATE(YEAR($A218),MONTH($A218),1))</f>
        <v/>
      </c>
      <c r="Q218" s="16">
        <f>IF($H218="","",$J218*IFERROR(INDEX('Settings'!$L$10:$L$39,MATCH($H218,'Settings'!$I$10:$I$39,0)),0))</f>
        <v/>
      </c>
      <c r="R218" s="17">
        <f>IF($A218="","",$A218-WEEKDAY($A218,2)+1)</f>
        <v/>
      </c>
    </row>
    <row r="219">
      <c r="A219" s="5" t="n">
        <v>46223</v>
      </c>
      <c r="B219" s="4" t="inlineStr">
        <is>
          <t>Main branch</t>
        </is>
      </c>
      <c r="C219" s="4" t="inlineStr">
        <is>
          <t>Main 3</t>
        </is>
      </c>
      <c r="D219" s="4" t="inlineStr">
        <is>
          <t>Dr Noura Al Subaie</t>
        </is>
      </c>
      <c r="E219" s="4" t="inlineStr">
        <is>
          <t>P-2597</t>
        </is>
      </c>
      <c r="F219" s="4" t="inlineStr">
        <is>
          <t>Returning</t>
        </is>
      </c>
      <c r="G219" s="4" t="inlineStr">
        <is>
          <t>Walk-in</t>
        </is>
      </c>
      <c r="H219" s="4" t="inlineStr">
        <is>
          <t>Specialist consultation</t>
        </is>
      </c>
      <c r="I219" s="9">
        <f>IF($H219="","",IFERROR(INDEX('Settings'!$J$10:$J$39,MATCH($H219,'Settings'!$I$10:$I$39,0)),""))</f>
        <v/>
      </c>
      <c r="J219" s="6" t="n">
        <v>1</v>
      </c>
      <c r="K219" s="8" t="n">
        <v>350</v>
      </c>
      <c r="L219" s="8" t="n"/>
      <c r="M219" s="14">
        <f>IF($A219="","",$J219*$K219)</f>
        <v/>
      </c>
      <c r="N219" s="14">
        <f>IF($A219="","",$M219-$L219)</f>
        <v/>
      </c>
      <c r="O219" s="4" t="inlineStr">
        <is>
          <t>Payment link</t>
        </is>
      </c>
      <c r="P219" s="15">
        <f>IF($A219="","",DATE(YEAR($A219),MONTH($A219),1))</f>
        <v/>
      </c>
      <c r="Q219" s="16">
        <f>IF($H219="","",$J219*IFERROR(INDEX('Settings'!$L$10:$L$39,MATCH($H219,'Settings'!$I$10:$I$39,0)),0))</f>
        <v/>
      </c>
      <c r="R219" s="17">
        <f>IF($A219="","",$A219-WEEKDAY($A219,2)+1)</f>
        <v/>
      </c>
    </row>
    <row r="220">
      <c r="A220" s="5" t="n">
        <v>46223</v>
      </c>
      <c r="B220" s="4" t="inlineStr">
        <is>
          <t>Main branch</t>
        </is>
      </c>
      <c r="C220" s="4" t="inlineStr">
        <is>
          <t>Main 3</t>
        </is>
      </c>
      <c r="D220" s="4" t="inlineStr">
        <is>
          <t>Dr Ahmed Mansour</t>
        </is>
      </c>
      <c r="E220" s="4" t="inlineStr">
        <is>
          <t>P-2867</t>
        </is>
      </c>
      <c r="F220" s="4" t="inlineStr">
        <is>
          <t>New</t>
        </is>
      </c>
      <c r="G220" s="4" t="inlineStr">
        <is>
          <t>Google</t>
        </is>
      </c>
      <c r="H220" s="4" t="inlineStr">
        <is>
          <t>Facial cleansing</t>
        </is>
      </c>
      <c r="I220" s="9">
        <f>IF($H220="","",IFERROR(INDEX('Settings'!$J$10:$J$39,MATCH($H220,'Settings'!$I$10:$I$39,0)),""))</f>
        <v/>
      </c>
      <c r="J220" s="6" t="n">
        <v>1</v>
      </c>
      <c r="K220" s="8" t="n">
        <v>400</v>
      </c>
      <c r="L220" s="8" t="n"/>
      <c r="M220" s="14">
        <f>IF($A220="","",$J220*$K220)</f>
        <v/>
      </c>
      <c r="N220" s="14">
        <f>IF($A220="","",$M220-$L220)</f>
        <v/>
      </c>
      <c r="O220" s="4" t="inlineStr">
        <is>
          <t>Cash</t>
        </is>
      </c>
      <c r="P220" s="15">
        <f>IF($A220="","",DATE(YEAR($A220),MONTH($A220),1))</f>
        <v/>
      </c>
      <c r="Q220" s="16">
        <f>IF($H220="","",$J220*IFERROR(INDEX('Settings'!$L$10:$L$39,MATCH($H220,'Settings'!$I$10:$I$39,0)),0))</f>
        <v/>
      </c>
      <c r="R220" s="17">
        <f>IF($A220="","",$A220-WEEKDAY($A220,2)+1)</f>
        <v/>
      </c>
    </row>
    <row r="221">
      <c r="A221" s="5" t="n">
        <v>46223</v>
      </c>
      <c r="B221" s="4" t="inlineStr">
        <is>
          <t>Main branch</t>
        </is>
      </c>
      <c r="C221" s="4" t="inlineStr">
        <is>
          <t>Main 3</t>
        </is>
      </c>
      <c r="D221" s="4" t="inlineStr">
        <is>
          <t>Dr Sara Al Harbi</t>
        </is>
      </c>
      <c r="E221" s="4" t="inlineStr">
        <is>
          <t>P-2671</t>
        </is>
      </c>
      <c r="F221" s="4" t="inlineStr">
        <is>
          <t>New</t>
        </is>
      </c>
      <c r="G221" s="4" t="inlineStr">
        <is>
          <t>Google</t>
        </is>
      </c>
      <c r="H221" s="4" t="inlineStr">
        <is>
          <t>Botulinum toxin</t>
        </is>
      </c>
      <c r="I221" s="9">
        <f>IF($H221="","",IFERROR(INDEX('Settings'!$J$10:$J$39,MATCH($H221,'Settings'!$I$10:$I$39,0)),""))</f>
        <v/>
      </c>
      <c r="J221" s="6" t="n">
        <v>1</v>
      </c>
      <c r="K221" s="8" t="n">
        <v>1500</v>
      </c>
      <c r="L221" s="8" t="n"/>
      <c r="M221" s="14">
        <f>IF($A221="","",$J221*$K221)</f>
        <v/>
      </c>
      <c r="N221" s="14">
        <f>IF($A221="","",$M221-$L221)</f>
        <v/>
      </c>
      <c r="O221" s="4" t="inlineStr">
        <is>
          <t>Cash</t>
        </is>
      </c>
      <c r="P221" s="15">
        <f>IF($A221="","",DATE(YEAR($A221),MONTH($A221),1))</f>
        <v/>
      </c>
      <c r="Q221" s="16">
        <f>IF($H221="","",$J221*IFERROR(INDEX('Settings'!$L$10:$L$39,MATCH($H221,'Settings'!$I$10:$I$39,0)),0))</f>
        <v/>
      </c>
      <c r="R221" s="17">
        <f>IF($A221="","",$A221-WEEKDAY($A221,2)+1)</f>
        <v/>
      </c>
    </row>
    <row r="222">
      <c r="A222" s="5" t="n">
        <v>46223</v>
      </c>
      <c r="B222" s="4" t="inlineStr">
        <is>
          <t>Main branch</t>
        </is>
      </c>
      <c r="C222" s="4" t="inlineStr">
        <is>
          <t>Main 4</t>
        </is>
      </c>
      <c r="D222" s="4" t="inlineStr">
        <is>
          <t>Dr Ahmed Mansour</t>
        </is>
      </c>
      <c r="E222" s="4" t="inlineStr">
        <is>
          <t>P-2285</t>
        </is>
      </c>
      <c r="F222" s="4" t="inlineStr">
        <is>
          <t>Returning</t>
        </is>
      </c>
      <c r="G222" s="4" t="inlineStr">
        <is>
          <t>Google</t>
        </is>
      </c>
      <c r="H222" s="4" t="inlineStr">
        <is>
          <t>Skin tag removal</t>
        </is>
      </c>
      <c r="I222" s="9">
        <f>IF($H222="","",IFERROR(INDEX('Settings'!$J$10:$J$39,MATCH($H222,'Settings'!$I$10:$I$39,0)),""))</f>
        <v/>
      </c>
      <c r="J222" s="6" t="n">
        <v>1</v>
      </c>
      <c r="K222" s="8" t="n">
        <v>500</v>
      </c>
      <c r="L222" s="8" t="n"/>
      <c r="M222" s="14">
        <f>IF($A222="","",$J222*$K222)</f>
        <v/>
      </c>
      <c r="N222" s="14">
        <f>IF($A222="","",$M222-$L222)</f>
        <v/>
      </c>
      <c r="O222" s="4" t="inlineStr">
        <is>
          <t>Card</t>
        </is>
      </c>
      <c r="P222" s="15">
        <f>IF($A222="","",DATE(YEAR($A222),MONTH($A222),1))</f>
        <v/>
      </c>
      <c r="Q222" s="16">
        <f>IF($H222="","",$J222*IFERROR(INDEX('Settings'!$L$10:$L$39,MATCH($H222,'Settings'!$I$10:$I$39,0)),0))</f>
        <v/>
      </c>
      <c r="R222" s="17">
        <f>IF($A222="","",$A222-WEEKDAY($A222,2)+1)</f>
        <v/>
      </c>
    </row>
    <row r="223">
      <c r="A223" s="5" t="n">
        <v>46223</v>
      </c>
      <c r="B223" s="4" t="inlineStr">
        <is>
          <t>North branch</t>
        </is>
      </c>
      <c r="C223" s="4" t="inlineStr">
        <is>
          <t>North 1</t>
        </is>
      </c>
      <c r="D223" s="4" t="inlineStr">
        <is>
          <t>Dr Khaled Youssef</t>
        </is>
      </c>
      <c r="E223" s="4" t="inlineStr">
        <is>
          <t>P-3067</t>
        </is>
      </c>
      <c r="F223" s="4" t="inlineStr">
        <is>
          <t>Returning</t>
        </is>
      </c>
      <c r="G223" s="4" t="inlineStr">
        <is>
          <t>Instagram</t>
        </is>
      </c>
      <c r="H223" s="4" t="inlineStr">
        <is>
          <t>Skin tag removal</t>
        </is>
      </c>
      <c r="I223" s="9">
        <f>IF($H223="","",IFERROR(INDEX('Settings'!$J$10:$J$39,MATCH($H223,'Settings'!$I$10:$I$39,0)),""))</f>
        <v/>
      </c>
      <c r="J223" s="6" t="n">
        <v>1</v>
      </c>
      <c r="K223" s="8" t="n">
        <v>500</v>
      </c>
      <c r="L223" s="8" t="n">
        <v>50</v>
      </c>
      <c r="M223" s="14">
        <f>IF($A223="","",$J223*$K223)</f>
        <v/>
      </c>
      <c r="N223" s="14">
        <f>IF($A223="","",$M223-$L223)</f>
        <v/>
      </c>
      <c r="O223" s="4" t="inlineStr">
        <is>
          <t>Card</t>
        </is>
      </c>
      <c r="P223" s="15">
        <f>IF($A223="","",DATE(YEAR($A223),MONTH($A223),1))</f>
        <v/>
      </c>
      <c r="Q223" s="16">
        <f>IF($H223="","",$J223*IFERROR(INDEX('Settings'!$L$10:$L$39,MATCH($H223,'Settings'!$I$10:$I$39,0)),0))</f>
        <v/>
      </c>
      <c r="R223" s="17">
        <f>IF($A223="","",$A223-WEEKDAY($A223,2)+1)</f>
        <v/>
      </c>
    </row>
    <row r="224">
      <c r="A224" s="5" t="n">
        <v>46223</v>
      </c>
      <c r="B224" s="4" t="inlineStr">
        <is>
          <t>North branch</t>
        </is>
      </c>
      <c r="C224" s="4" t="inlineStr">
        <is>
          <t>North 2</t>
        </is>
      </c>
      <c r="D224" s="4" t="inlineStr">
        <is>
          <t>Dr Layla Al Qahtani</t>
        </is>
      </c>
      <c r="E224" s="4" t="inlineStr">
        <is>
          <t>P-2172</t>
        </is>
      </c>
      <c r="F224" s="4" t="inlineStr">
        <is>
          <t>Returning</t>
        </is>
      </c>
      <c r="G224" s="4" t="inlineStr">
        <is>
          <t>Referral</t>
        </is>
      </c>
      <c r="H224" s="4" t="inlineStr">
        <is>
          <t>Follow-up visit</t>
        </is>
      </c>
      <c r="I224" s="9">
        <f>IF($H224="","",IFERROR(INDEX('Settings'!$J$10:$J$39,MATCH($H224,'Settings'!$I$10:$I$39,0)),""))</f>
        <v/>
      </c>
      <c r="J224" s="6" t="n">
        <v>1</v>
      </c>
      <c r="K224" s="8" t="n">
        <v>150</v>
      </c>
      <c r="L224" s="8" t="n"/>
      <c r="M224" s="14">
        <f>IF($A224="","",$J224*$K224)</f>
        <v/>
      </c>
      <c r="N224" s="14">
        <f>IF($A224="","",$M224-$L224)</f>
        <v/>
      </c>
      <c r="O224" s="4" t="inlineStr">
        <is>
          <t>Card</t>
        </is>
      </c>
      <c r="P224" s="15">
        <f>IF($A224="","",DATE(YEAR($A224),MONTH($A224),1))</f>
        <v/>
      </c>
      <c r="Q224" s="16">
        <f>IF($H224="","",$J224*IFERROR(INDEX('Settings'!$L$10:$L$39,MATCH($H224,'Settings'!$I$10:$I$39,0)),0))</f>
        <v/>
      </c>
      <c r="R224" s="17">
        <f>IF($A224="","",$A224-WEEKDAY($A224,2)+1)</f>
        <v/>
      </c>
    </row>
    <row r="225">
      <c r="A225" s="5" t="n">
        <v>46223</v>
      </c>
      <c r="B225" s="4" t="inlineStr">
        <is>
          <t>North branch</t>
        </is>
      </c>
      <c r="C225" s="4" t="inlineStr">
        <is>
          <t>North 2</t>
        </is>
      </c>
      <c r="D225" s="4" t="inlineStr">
        <is>
          <t>Dr Khaled Youssef</t>
        </is>
      </c>
      <c r="E225" s="4" t="inlineStr">
        <is>
          <t>P-2362</t>
        </is>
      </c>
      <c r="F225" s="4" t="inlineStr">
        <is>
          <t>Returning</t>
        </is>
      </c>
      <c r="G225" s="4" t="inlineStr">
        <is>
          <t>Google</t>
        </is>
      </c>
      <c r="H225" s="4" t="inlineStr">
        <is>
          <t>Skin tag removal</t>
        </is>
      </c>
      <c r="I225" s="9">
        <f>IF($H225="","",IFERROR(INDEX('Settings'!$J$10:$J$39,MATCH($H225,'Settings'!$I$10:$I$39,0)),""))</f>
        <v/>
      </c>
      <c r="J225" s="6" t="n">
        <v>1</v>
      </c>
      <c r="K225" s="8" t="n">
        <v>500</v>
      </c>
      <c r="L225" s="8" t="n"/>
      <c r="M225" s="14">
        <f>IF($A225="","",$J225*$K225)</f>
        <v/>
      </c>
      <c r="N225" s="14">
        <f>IF($A225="","",$M225-$L225)</f>
        <v/>
      </c>
      <c r="O225" s="4" t="inlineStr">
        <is>
          <t>Cash</t>
        </is>
      </c>
      <c r="P225" s="15">
        <f>IF($A225="","",DATE(YEAR($A225),MONTH($A225),1))</f>
        <v/>
      </c>
      <c r="Q225" s="16">
        <f>IF($H225="","",$J225*IFERROR(INDEX('Settings'!$L$10:$L$39,MATCH($H225,'Settings'!$I$10:$I$39,0)),0))</f>
        <v/>
      </c>
      <c r="R225" s="17">
        <f>IF($A225="","",$A225-WEEKDAY($A225,2)+1)</f>
        <v/>
      </c>
    </row>
    <row r="226">
      <c r="A226" s="5" t="n">
        <v>46223</v>
      </c>
      <c r="B226" s="4" t="inlineStr">
        <is>
          <t>North branch</t>
        </is>
      </c>
      <c r="C226" s="4" t="inlineStr">
        <is>
          <t>North 2</t>
        </is>
      </c>
      <c r="D226" s="4" t="inlineStr">
        <is>
          <t>Dr Khaled Youssef</t>
        </is>
      </c>
      <c r="E226" s="4" t="inlineStr">
        <is>
          <t>P-2130</t>
        </is>
      </c>
      <c r="F226" s="4" t="inlineStr">
        <is>
          <t>Returning</t>
        </is>
      </c>
      <c r="G226" s="4" t="inlineStr">
        <is>
          <t>Instagram</t>
        </is>
      </c>
      <c r="H226" s="4" t="inlineStr">
        <is>
          <t>Facial cleansing</t>
        </is>
      </c>
      <c r="I226" s="9">
        <f>IF($H226="","",IFERROR(INDEX('Settings'!$J$10:$J$39,MATCH($H226,'Settings'!$I$10:$I$39,0)),""))</f>
        <v/>
      </c>
      <c r="J226" s="6" t="n">
        <v>1</v>
      </c>
      <c r="K226" s="8" t="n">
        <v>400</v>
      </c>
      <c r="L226" s="8" t="n"/>
      <c r="M226" s="14">
        <f>IF($A226="","",$J226*$K226)</f>
        <v/>
      </c>
      <c r="N226" s="14">
        <f>IF($A226="","",$M226-$L226)</f>
        <v/>
      </c>
      <c r="O226" s="4" t="inlineStr">
        <is>
          <t>Cash</t>
        </is>
      </c>
      <c r="P226" s="15">
        <f>IF($A226="","",DATE(YEAR($A226),MONTH($A226),1))</f>
        <v/>
      </c>
      <c r="Q226" s="16">
        <f>IF($H226="","",$J226*IFERROR(INDEX('Settings'!$L$10:$L$39,MATCH($H226,'Settings'!$I$10:$I$39,0)),0))</f>
        <v/>
      </c>
      <c r="R226" s="17">
        <f>IF($A226="","",$A226-WEEKDAY($A226,2)+1)</f>
        <v/>
      </c>
    </row>
    <row r="227">
      <c r="A227" s="5" t="n">
        <v>46223</v>
      </c>
      <c r="B227" s="4" t="inlineStr">
        <is>
          <t>North branch</t>
        </is>
      </c>
      <c r="C227" s="4" t="inlineStr">
        <is>
          <t>North 2</t>
        </is>
      </c>
      <c r="D227" s="4" t="inlineStr">
        <is>
          <t>Dr Layla Al Qahtani</t>
        </is>
      </c>
      <c r="E227" s="4" t="inlineStr">
        <is>
          <t>P-2221</t>
        </is>
      </c>
      <c r="F227" s="4" t="inlineStr">
        <is>
          <t>Returning</t>
        </is>
      </c>
      <c r="G227" s="4" t="inlineStr">
        <is>
          <t>Walk-in</t>
        </is>
      </c>
      <c r="H227" s="4" t="inlineStr">
        <is>
          <t>Laser session, face</t>
        </is>
      </c>
      <c r="I227" s="9">
        <f>IF($H227="","",IFERROR(INDEX('Settings'!$J$10:$J$39,MATCH($H227,'Settings'!$I$10:$I$39,0)),""))</f>
        <v/>
      </c>
      <c r="J227" s="6" t="n">
        <v>1</v>
      </c>
      <c r="K227" s="8" t="n">
        <v>600</v>
      </c>
      <c r="L227" s="8" t="n"/>
      <c r="M227" s="14">
        <f>IF($A227="","",$J227*$K227)</f>
        <v/>
      </c>
      <c r="N227" s="14">
        <f>IF($A227="","",$M227-$L227)</f>
        <v/>
      </c>
      <c r="O227" s="4" t="inlineStr">
        <is>
          <t>Transfer</t>
        </is>
      </c>
      <c r="P227" s="15">
        <f>IF($A227="","",DATE(YEAR($A227),MONTH($A227),1))</f>
        <v/>
      </c>
      <c r="Q227" s="16">
        <f>IF($H227="","",$J227*IFERROR(INDEX('Settings'!$L$10:$L$39,MATCH($H227,'Settings'!$I$10:$I$39,0)),0))</f>
        <v/>
      </c>
      <c r="R227" s="17">
        <f>IF($A227="","",$A227-WEEKDAY($A227,2)+1)</f>
        <v/>
      </c>
    </row>
    <row r="228">
      <c r="A228" s="5" t="n">
        <v>46224</v>
      </c>
      <c r="B228" s="4" t="inlineStr">
        <is>
          <t>Main branch</t>
        </is>
      </c>
      <c r="C228" s="4" t="inlineStr">
        <is>
          <t>Main 1</t>
        </is>
      </c>
      <c r="D228" s="4" t="inlineStr">
        <is>
          <t>Dr Sara Al Harbi</t>
        </is>
      </c>
      <c r="E228" s="4" t="inlineStr">
        <is>
          <t>P-2275</t>
        </is>
      </c>
      <c r="F228" s="4" t="inlineStr">
        <is>
          <t>Returning</t>
        </is>
      </c>
      <c r="G228" s="4" t="inlineStr">
        <is>
          <t>Instagram</t>
        </is>
      </c>
      <c r="H228" s="4" t="inlineStr">
        <is>
          <t>Vitamin C serum</t>
        </is>
      </c>
      <c r="I228" s="9">
        <f>IF($H228="","",IFERROR(INDEX('Settings'!$J$10:$J$39,MATCH($H228,'Settings'!$I$10:$I$39,0)),""))</f>
        <v/>
      </c>
      <c r="J228" s="6" t="n">
        <v>1</v>
      </c>
      <c r="K228" s="8" t="n">
        <v>220</v>
      </c>
      <c r="L228" s="8" t="n"/>
      <c r="M228" s="14">
        <f>IF($A228="","",$J228*$K228)</f>
        <v/>
      </c>
      <c r="N228" s="14">
        <f>IF($A228="","",$M228-$L228)</f>
        <v/>
      </c>
      <c r="O228" s="4" t="inlineStr">
        <is>
          <t>Transfer</t>
        </is>
      </c>
      <c r="P228" s="15">
        <f>IF($A228="","",DATE(YEAR($A228),MONTH($A228),1))</f>
        <v/>
      </c>
      <c r="Q228" s="16">
        <f>IF($H228="","",$J228*IFERROR(INDEX('Settings'!$L$10:$L$39,MATCH($H228,'Settings'!$I$10:$I$39,0)),0))</f>
        <v/>
      </c>
      <c r="R228" s="17">
        <f>IF($A228="","",$A228-WEEKDAY($A228,2)+1)</f>
        <v/>
      </c>
    </row>
    <row r="229">
      <c r="A229" s="5" t="n">
        <v>46224</v>
      </c>
      <c r="B229" s="4" t="inlineStr">
        <is>
          <t>Main branch</t>
        </is>
      </c>
      <c r="C229" s="4" t="inlineStr">
        <is>
          <t>Main 1</t>
        </is>
      </c>
      <c r="D229" s="4" t="inlineStr">
        <is>
          <t>Dr Ahmed Mansour</t>
        </is>
      </c>
      <c r="E229" s="4" t="inlineStr">
        <is>
          <t>P-2325</t>
        </is>
      </c>
      <c r="F229" s="4" t="inlineStr">
        <is>
          <t>Returning</t>
        </is>
      </c>
      <c r="G229" s="4" t="inlineStr">
        <is>
          <t>WhatsApp</t>
        </is>
      </c>
      <c r="H229" s="4" t="inlineStr">
        <is>
          <t>Facial cleansing</t>
        </is>
      </c>
      <c r="I229" s="9">
        <f>IF($H229="","",IFERROR(INDEX('Settings'!$J$10:$J$39,MATCH($H229,'Settings'!$I$10:$I$39,0)),""))</f>
        <v/>
      </c>
      <c r="J229" s="6" t="n">
        <v>1</v>
      </c>
      <c r="K229" s="8" t="n">
        <v>400</v>
      </c>
      <c r="L229" s="8" t="n"/>
      <c r="M229" s="14">
        <f>IF($A229="","",$J229*$K229)</f>
        <v/>
      </c>
      <c r="N229" s="14">
        <f>IF($A229="","",$M229-$L229)</f>
        <v/>
      </c>
      <c r="O229" s="4" t="inlineStr">
        <is>
          <t>Payment link</t>
        </is>
      </c>
      <c r="P229" s="15">
        <f>IF($A229="","",DATE(YEAR($A229),MONTH($A229),1))</f>
        <v/>
      </c>
      <c r="Q229" s="16">
        <f>IF($H229="","",$J229*IFERROR(INDEX('Settings'!$L$10:$L$39,MATCH($H229,'Settings'!$I$10:$I$39,0)),0))</f>
        <v/>
      </c>
      <c r="R229" s="17">
        <f>IF($A229="","",$A229-WEEKDAY($A229,2)+1)</f>
        <v/>
      </c>
    </row>
    <row r="230">
      <c r="A230" s="5" t="n">
        <v>46224</v>
      </c>
      <c r="B230" s="4" t="inlineStr">
        <is>
          <t>Main branch</t>
        </is>
      </c>
      <c r="C230" s="4" t="inlineStr">
        <is>
          <t>Main 2</t>
        </is>
      </c>
      <c r="D230" s="4" t="inlineStr">
        <is>
          <t>Dr Sara Al Harbi</t>
        </is>
      </c>
      <c r="E230" s="4" t="inlineStr">
        <is>
          <t>P-2756</t>
        </is>
      </c>
      <c r="F230" s="4" t="inlineStr">
        <is>
          <t>Returning</t>
        </is>
      </c>
      <c r="G230" s="4" t="inlineStr">
        <is>
          <t>WhatsApp</t>
        </is>
      </c>
      <c r="H230" s="4" t="inlineStr">
        <is>
          <t>Laser session, body</t>
        </is>
      </c>
      <c r="I230" s="9">
        <f>IF($H230="","",IFERROR(INDEX('Settings'!$J$10:$J$39,MATCH($H230,'Settings'!$I$10:$I$39,0)),""))</f>
        <v/>
      </c>
      <c r="J230" s="6" t="n">
        <v>1</v>
      </c>
      <c r="K230" s="8" t="n">
        <v>1200</v>
      </c>
      <c r="L230" s="8" t="n">
        <v>120</v>
      </c>
      <c r="M230" s="14">
        <f>IF($A230="","",$J230*$K230)</f>
        <v/>
      </c>
      <c r="N230" s="14">
        <f>IF($A230="","",$M230-$L230)</f>
        <v/>
      </c>
      <c r="O230" s="4" t="inlineStr">
        <is>
          <t>Card</t>
        </is>
      </c>
      <c r="P230" s="15">
        <f>IF($A230="","",DATE(YEAR($A230),MONTH($A230),1))</f>
        <v/>
      </c>
      <c r="Q230" s="16">
        <f>IF($H230="","",$J230*IFERROR(INDEX('Settings'!$L$10:$L$39,MATCH($H230,'Settings'!$I$10:$I$39,0)),0))</f>
        <v/>
      </c>
      <c r="R230" s="17">
        <f>IF($A230="","",$A230-WEEKDAY($A230,2)+1)</f>
        <v/>
      </c>
    </row>
    <row r="231">
      <c r="A231" s="5" t="n">
        <v>46224</v>
      </c>
      <c r="B231" s="4" t="inlineStr">
        <is>
          <t>Main branch</t>
        </is>
      </c>
      <c r="C231" s="4" t="inlineStr">
        <is>
          <t>Main 4</t>
        </is>
      </c>
      <c r="D231" s="4" t="inlineStr">
        <is>
          <t>Dr Sara Al Harbi</t>
        </is>
      </c>
      <c r="E231" s="4" t="inlineStr">
        <is>
          <t>P-3087</t>
        </is>
      </c>
      <c r="F231" s="4" t="inlineStr">
        <is>
          <t>Returning</t>
        </is>
      </c>
      <c r="G231" s="4" t="inlineStr">
        <is>
          <t>Google</t>
        </is>
      </c>
      <c r="H231" s="4" t="inlineStr">
        <is>
          <t>Laser session, face</t>
        </is>
      </c>
      <c r="I231" s="9">
        <f>IF($H231="","",IFERROR(INDEX('Settings'!$J$10:$J$39,MATCH($H231,'Settings'!$I$10:$I$39,0)),""))</f>
        <v/>
      </c>
      <c r="J231" s="6" t="n">
        <v>1</v>
      </c>
      <c r="K231" s="8" t="n">
        <v>600</v>
      </c>
      <c r="L231" s="8" t="n"/>
      <c r="M231" s="14">
        <f>IF($A231="","",$J231*$K231)</f>
        <v/>
      </c>
      <c r="N231" s="14">
        <f>IF($A231="","",$M231-$L231)</f>
        <v/>
      </c>
      <c r="O231" s="4" t="inlineStr">
        <is>
          <t>Card</t>
        </is>
      </c>
      <c r="P231" s="15">
        <f>IF($A231="","",DATE(YEAR($A231),MONTH($A231),1))</f>
        <v/>
      </c>
      <c r="Q231" s="16">
        <f>IF($H231="","",$J231*IFERROR(INDEX('Settings'!$L$10:$L$39,MATCH($H231,'Settings'!$I$10:$I$39,0)),0))</f>
        <v/>
      </c>
      <c r="R231" s="17">
        <f>IF($A231="","",$A231-WEEKDAY($A231,2)+1)</f>
        <v/>
      </c>
    </row>
    <row r="232">
      <c r="A232" s="5" t="n">
        <v>46224</v>
      </c>
      <c r="B232" s="4" t="inlineStr">
        <is>
          <t>North branch</t>
        </is>
      </c>
      <c r="C232" s="4" t="inlineStr">
        <is>
          <t>North 1</t>
        </is>
      </c>
      <c r="D232" s="4" t="inlineStr">
        <is>
          <t>Dr Layla Al Qahtani</t>
        </is>
      </c>
      <c r="E232" s="4" t="inlineStr">
        <is>
          <t>P-2964</t>
        </is>
      </c>
      <c r="F232" s="4" t="inlineStr">
        <is>
          <t>New</t>
        </is>
      </c>
      <c r="G232" s="4" t="inlineStr">
        <is>
          <t>Google</t>
        </is>
      </c>
      <c r="H232" s="4" t="inlineStr">
        <is>
          <t>Facial cleansing</t>
        </is>
      </c>
      <c r="I232" s="9">
        <f>IF($H232="","",IFERROR(INDEX('Settings'!$J$10:$J$39,MATCH($H232,'Settings'!$I$10:$I$39,0)),""))</f>
        <v/>
      </c>
      <c r="J232" s="6" t="n">
        <v>1</v>
      </c>
      <c r="K232" s="8" t="n">
        <v>400</v>
      </c>
      <c r="L232" s="8" t="n"/>
      <c r="M232" s="14">
        <f>IF($A232="","",$J232*$K232)</f>
        <v/>
      </c>
      <c r="N232" s="14">
        <f>IF($A232="","",$M232-$L232)</f>
        <v/>
      </c>
      <c r="O232" s="4" t="inlineStr">
        <is>
          <t>Payment link</t>
        </is>
      </c>
      <c r="P232" s="15">
        <f>IF($A232="","",DATE(YEAR($A232),MONTH($A232),1))</f>
        <v/>
      </c>
      <c r="Q232" s="16">
        <f>IF($H232="","",$J232*IFERROR(INDEX('Settings'!$L$10:$L$39,MATCH($H232,'Settings'!$I$10:$I$39,0)),0))</f>
        <v/>
      </c>
      <c r="R232" s="17">
        <f>IF($A232="","",$A232-WEEKDAY($A232,2)+1)</f>
        <v/>
      </c>
    </row>
    <row r="233">
      <c r="A233" s="5" t="n">
        <v>46224</v>
      </c>
      <c r="B233" s="4" t="inlineStr">
        <is>
          <t>North branch</t>
        </is>
      </c>
      <c r="C233" s="4" t="inlineStr">
        <is>
          <t>North 1</t>
        </is>
      </c>
      <c r="D233" s="4" t="inlineStr">
        <is>
          <t>Dr Mohamed Adel</t>
        </is>
      </c>
      <c r="E233" s="4" t="inlineStr">
        <is>
          <t>P-2337</t>
        </is>
      </c>
      <c r="F233" s="4" t="inlineStr">
        <is>
          <t>New</t>
        </is>
      </c>
      <c r="G233" s="4" t="inlineStr">
        <is>
          <t>Referral</t>
        </is>
      </c>
      <c r="H233" s="4" t="inlineStr">
        <is>
          <t>Specialist consultation</t>
        </is>
      </c>
      <c r="I233" s="9">
        <f>IF($H233="","",IFERROR(INDEX('Settings'!$J$10:$J$39,MATCH($H233,'Settings'!$I$10:$I$39,0)),""))</f>
        <v/>
      </c>
      <c r="J233" s="6" t="n">
        <v>1</v>
      </c>
      <c r="K233" s="8" t="n">
        <v>350</v>
      </c>
      <c r="L233" s="8" t="n"/>
      <c r="M233" s="14">
        <f>IF($A233="","",$J233*$K233)</f>
        <v/>
      </c>
      <c r="N233" s="14">
        <f>IF($A233="","",$M233-$L233)</f>
        <v/>
      </c>
      <c r="O233" s="4" t="inlineStr">
        <is>
          <t>Cash</t>
        </is>
      </c>
      <c r="P233" s="15">
        <f>IF($A233="","",DATE(YEAR($A233),MONTH($A233),1))</f>
        <v/>
      </c>
      <c r="Q233" s="16">
        <f>IF($H233="","",$J233*IFERROR(INDEX('Settings'!$L$10:$L$39,MATCH($H233,'Settings'!$I$10:$I$39,0)),0))</f>
        <v/>
      </c>
      <c r="R233" s="17">
        <f>IF($A233="","",$A233-WEEKDAY($A233,2)+1)</f>
        <v/>
      </c>
    </row>
    <row r="234">
      <c r="A234" s="5" t="n">
        <v>46224</v>
      </c>
      <c r="B234" s="4" t="inlineStr">
        <is>
          <t>North branch</t>
        </is>
      </c>
      <c r="C234" s="4" t="inlineStr">
        <is>
          <t>North 1</t>
        </is>
      </c>
      <c r="D234" s="4" t="inlineStr">
        <is>
          <t>Dr Mohamed Adel</t>
        </is>
      </c>
      <c r="E234" s="4" t="inlineStr">
        <is>
          <t>P-2822</t>
        </is>
      </c>
      <c r="F234" s="4" t="inlineStr">
        <is>
          <t>New</t>
        </is>
      </c>
      <c r="G234" s="4" t="inlineStr">
        <is>
          <t>Instagram</t>
        </is>
      </c>
      <c r="H234" s="4" t="inlineStr">
        <is>
          <t>Physiotherapy session</t>
        </is>
      </c>
      <c r="I234" s="9">
        <f>IF($H234="","",IFERROR(INDEX('Settings'!$J$10:$J$39,MATCH($H234,'Settings'!$I$10:$I$39,0)),""))</f>
        <v/>
      </c>
      <c r="J234" s="6" t="n">
        <v>1</v>
      </c>
      <c r="K234" s="8" t="n">
        <v>300</v>
      </c>
      <c r="L234" s="8" t="n">
        <v>60</v>
      </c>
      <c r="M234" s="14">
        <f>IF($A234="","",$J234*$K234)</f>
        <v/>
      </c>
      <c r="N234" s="14">
        <f>IF($A234="","",$M234-$L234)</f>
        <v/>
      </c>
      <c r="O234" s="4" t="inlineStr">
        <is>
          <t>Insurance</t>
        </is>
      </c>
      <c r="P234" s="15">
        <f>IF($A234="","",DATE(YEAR($A234),MONTH($A234),1))</f>
        <v/>
      </c>
      <c r="Q234" s="16">
        <f>IF($H234="","",$J234*IFERROR(INDEX('Settings'!$L$10:$L$39,MATCH($H234,'Settings'!$I$10:$I$39,0)),0))</f>
        <v/>
      </c>
      <c r="R234" s="17">
        <f>IF($A234="","",$A234-WEEKDAY($A234,2)+1)</f>
        <v/>
      </c>
    </row>
    <row r="235">
      <c r="A235" s="5" t="n">
        <v>46224</v>
      </c>
      <c r="B235" s="4" t="inlineStr">
        <is>
          <t>North branch</t>
        </is>
      </c>
      <c r="C235" s="4" t="inlineStr">
        <is>
          <t>North 1</t>
        </is>
      </c>
      <c r="D235" s="4" t="inlineStr">
        <is>
          <t>Dr Layla Al Qahtani</t>
        </is>
      </c>
      <c r="E235" s="4" t="inlineStr">
        <is>
          <t>P-2489</t>
        </is>
      </c>
      <c r="F235" s="4" t="inlineStr">
        <is>
          <t>Returning</t>
        </is>
      </c>
      <c r="G235" s="4" t="inlineStr">
        <is>
          <t>Walk-in</t>
        </is>
      </c>
      <c r="H235" s="4" t="inlineStr">
        <is>
          <t>Facial cleansing</t>
        </is>
      </c>
      <c r="I235" s="9">
        <f>IF($H235="","",IFERROR(INDEX('Settings'!$J$10:$J$39,MATCH($H235,'Settings'!$I$10:$I$39,0)),""))</f>
        <v/>
      </c>
      <c r="J235" s="6" t="n">
        <v>1</v>
      </c>
      <c r="K235" s="8" t="n">
        <v>400</v>
      </c>
      <c r="L235" s="8" t="n"/>
      <c r="M235" s="14">
        <f>IF($A235="","",$J235*$K235)</f>
        <v/>
      </c>
      <c r="N235" s="14">
        <f>IF($A235="","",$M235-$L235)</f>
        <v/>
      </c>
      <c r="O235" s="4" t="inlineStr">
        <is>
          <t>Card</t>
        </is>
      </c>
      <c r="P235" s="15">
        <f>IF($A235="","",DATE(YEAR($A235),MONTH($A235),1))</f>
        <v/>
      </c>
      <c r="Q235" s="16">
        <f>IF($H235="","",$J235*IFERROR(INDEX('Settings'!$L$10:$L$39,MATCH($H235,'Settings'!$I$10:$I$39,0)),0))</f>
        <v/>
      </c>
      <c r="R235" s="17">
        <f>IF($A235="","",$A235-WEEKDAY($A235,2)+1)</f>
        <v/>
      </c>
    </row>
    <row r="236">
      <c r="A236" s="5" t="n">
        <v>46224</v>
      </c>
      <c r="B236" s="4" t="inlineStr">
        <is>
          <t>North branch</t>
        </is>
      </c>
      <c r="C236" s="4" t="inlineStr">
        <is>
          <t>North 1</t>
        </is>
      </c>
      <c r="D236" s="4" t="inlineStr">
        <is>
          <t>Dr Khaled Youssef</t>
        </is>
      </c>
      <c r="E236" s="4" t="inlineStr">
        <is>
          <t>P-3351</t>
        </is>
      </c>
      <c r="F236" s="4" t="inlineStr">
        <is>
          <t>New</t>
        </is>
      </c>
      <c r="G236" s="4" t="inlineStr">
        <is>
          <t>Referral</t>
        </is>
      </c>
      <c r="H236" s="4" t="inlineStr">
        <is>
          <t>Specialist consultation</t>
        </is>
      </c>
      <c r="I236" s="9">
        <f>IF($H236="","",IFERROR(INDEX('Settings'!$J$10:$J$39,MATCH($H236,'Settings'!$I$10:$I$39,0)),""))</f>
        <v/>
      </c>
      <c r="J236" s="6" t="n">
        <v>1</v>
      </c>
      <c r="K236" s="8" t="n">
        <v>350</v>
      </c>
      <c r="L236" s="8" t="n"/>
      <c r="M236" s="14">
        <f>IF($A236="","",$J236*$K236)</f>
        <v/>
      </c>
      <c r="N236" s="14">
        <f>IF($A236="","",$M236-$L236)</f>
        <v/>
      </c>
      <c r="O236" s="4" t="inlineStr">
        <is>
          <t>Cash</t>
        </is>
      </c>
      <c r="P236" s="15">
        <f>IF($A236="","",DATE(YEAR($A236),MONTH($A236),1))</f>
        <v/>
      </c>
      <c r="Q236" s="16">
        <f>IF($H236="","",$J236*IFERROR(INDEX('Settings'!$L$10:$L$39,MATCH($H236,'Settings'!$I$10:$I$39,0)),0))</f>
        <v/>
      </c>
      <c r="R236" s="17">
        <f>IF($A236="","",$A236-WEEKDAY($A236,2)+1)</f>
        <v/>
      </c>
    </row>
    <row r="237">
      <c r="A237" s="5" t="n">
        <v>46224</v>
      </c>
      <c r="B237" s="4" t="inlineStr">
        <is>
          <t>North branch</t>
        </is>
      </c>
      <c r="C237" s="4" t="inlineStr">
        <is>
          <t>North 1</t>
        </is>
      </c>
      <c r="D237" s="4" t="inlineStr">
        <is>
          <t>Dr Khaled Youssef</t>
        </is>
      </c>
      <c r="E237" s="4" t="inlineStr">
        <is>
          <t>P-3441</t>
        </is>
      </c>
      <c r="F237" s="4" t="inlineStr">
        <is>
          <t>Returning</t>
        </is>
      </c>
      <c r="G237" s="4" t="inlineStr">
        <is>
          <t>WhatsApp</t>
        </is>
      </c>
      <c r="H237" s="4" t="inlineStr">
        <is>
          <t>Laser session, face</t>
        </is>
      </c>
      <c r="I237" s="9">
        <f>IF($H237="","",IFERROR(INDEX('Settings'!$J$10:$J$39,MATCH($H237,'Settings'!$I$10:$I$39,0)),""))</f>
        <v/>
      </c>
      <c r="J237" s="6" t="n">
        <v>1</v>
      </c>
      <c r="K237" s="8" t="n">
        <v>600</v>
      </c>
      <c r="L237" s="8" t="n"/>
      <c r="M237" s="14">
        <f>IF($A237="","",$J237*$K237)</f>
        <v/>
      </c>
      <c r="N237" s="14">
        <f>IF($A237="","",$M237-$L237)</f>
        <v/>
      </c>
      <c r="O237" s="4" t="inlineStr">
        <is>
          <t>Payment link</t>
        </is>
      </c>
      <c r="P237" s="15">
        <f>IF($A237="","",DATE(YEAR($A237),MONTH($A237),1))</f>
        <v/>
      </c>
      <c r="Q237" s="16">
        <f>IF($H237="","",$J237*IFERROR(INDEX('Settings'!$L$10:$L$39,MATCH($H237,'Settings'!$I$10:$I$39,0)),0))</f>
        <v/>
      </c>
      <c r="R237" s="17">
        <f>IF($A237="","",$A237-WEEKDAY($A237,2)+1)</f>
        <v/>
      </c>
    </row>
    <row r="238">
      <c r="A238" s="5" t="n">
        <v>46224</v>
      </c>
      <c r="B238" s="4" t="inlineStr">
        <is>
          <t>North branch</t>
        </is>
      </c>
      <c r="C238" s="4" t="inlineStr">
        <is>
          <t>North 1</t>
        </is>
      </c>
      <c r="D238" s="4" t="inlineStr">
        <is>
          <t>Dr Khaled Youssef</t>
        </is>
      </c>
      <c r="E238" s="4" t="inlineStr">
        <is>
          <t>P-3158</t>
        </is>
      </c>
      <c r="F238" s="4" t="inlineStr">
        <is>
          <t>Returning</t>
        </is>
      </c>
      <c r="G238" s="4" t="inlineStr">
        <is>
          <t>Google</t>
        </is>
      </c>
      <c r="H238" s="4" t="inlineStr">
        <is>
          <t>Specialist consultation</t>
        </is>
      </c>
      <c r="I238" s="9">
        <f>IF($H238="","",IFERROR(INDEX('Settings'!$J$10:$J$39,MATCH($H238,'Settings'!$I$10:$I$39,0)),""))</f>
        <v/>
      </c>
      <c r="J238" s="6" t="n">
        <v>1</v>
      </c>
      <c r="K238" s="8" t="n">
        <v>350</v>
      </c>
      <c r="L238" s="8" t="n"/>
      <c r="M238" s="14">
        <f>IF($A238="","",$J238*$K238)</f>
        <v/>
      </c>
      <c r="N238" s="14">
        <f>IF($A238="","",$M238-$L238)</f>
        <v/>
      </c>
      <c r="O238" s="4" t="inlineStr">
        <is>
          <t>Card</t>
        </is>
      </c>
      <c r="P238" s="15">
        <f>IF($A238="","",DATE(YEAR($A238),MONTH($A238),1))</f>
        <v/>
      </c>
      <c r="Q238" s="16">
        <f>IF($H238="","",$J238*IFERROR(INDEX('Settings'!$L$10:$L$39,MATCH($H238,'Settings'!$I$10:$I$39,0)),0))</f>
        <v/>
      </c>
      <c r="R238" s="17">
        <f>IF($A238="","",$A238-WEEKDAY($A238,2)+1)</f>
        <v/>
      </c>
    </row>
    <row r="239">
      <c r="A239" s="5" t="n">
        <v>46224</v>
      </c>
      <c r="B239" s="4" t="inlineStr">
        <is>
          <t>North branch</t>
        </is>
      </c>
      <c r="C239" s="4" t="inlineStr">
        <is>
          <t>North 1</t>
        </is>
      </c>
      <c r="D239" s="4" t="inlineStr">
        <is>
          <t>Dr Khaled Youssef</t>
        </is>
      </c>
      <c r="E239" s="4" t="inlineStr">
        <is>
          <t>P-2476</t>
        </is>
      </c>
      <c r="F239" s="4" t="inlineStr">
        <is>
          <t>New</t>
        </is>
      </c>
      <c r="G239" s="4" t="inlineStr">
        <is>
          <t>Referral</t>
        </is>
      </c>
      <c r="H239" s="4" t="inlineStr">
        <is>
          <t>Facial cleansing</t>
        </is>
      </c>
      <c r="I239" s="9">
        <f>IF($H239="","",IFERROR(INDEX('Settings'!$J$10:$J$39,MATCH($H239,'Settings'!$I$10:$I$39,0)),""))</f>
        <v/>
      </c>
      <c r="J239" s="6" t="n">
        <v>1</v>
      </c>
      <c r="K239" s="8" t="n">
        <v>400</v>
      </c>
      <c r="L239" s="8" t="n"/>
      <c r="M239" s="14">
        <f>IF($A239="","",$J239*$K239)</f>
        <v/>
      </c>
      <c r="N239" s="14">
        <f>IF($A239="","",$M239-$L239)</f>
        <v/>
      </c>
      <c r="O239" s="4" t="inlineStr">
        <is>
          <t>Transfer</t>
        </is>
      </c>
      <c r="P239" s="15">
        <f>IF($A239="","",DATE(YEAR($A239),MONTH($A239),1))</f>
        <v/>
      </c>
      <c r="Q239" s="16">
        <f>IF($H239="","",$J239*IFERROR(INDEX('Settings'!$L$10:$L$39,MATCH($H239,'Settings'!$I$10:$I$39,0)),0))</f>
        <v/>
      </c>
      <c r="R239" s="17">
        <f>IF($A239="","",$A239-WEEKDAY($A239,2)+1)</f>
        <v/>
      </c>
    </row>
    <row r="240">
      <c r="A240" s="5" t="n">
        <v>46224</v>
      </c>
      <c r="B240" s="4" t="inlineStr">
        <is>
          <t>North branch</t>
        </is>
      </c>
      <c r="C240" s="4" t="inlineStr">
        <is>
          <t>North 2</t>
        </is>
      </c>
      <c r="D240" s="4" t="inlineStr">
        <is>
          <t>Dr Layla Al Qahtani</t>
        </is>
      </c>
      <c r="E240" s="4" t="inlineStr">
        <is>
          <t>P-2748</t>
        </is>
      </c>
      <c r="F240" s="4" t="inlineStr">
        <is>
          <t>Returning</t>
        </is>
      </c>
      <c r="G240" s="4" t="inlineStr">
        <is>
          <t>Instagram</t>
        </is>
      </c>
      <c r="H240" s="4" t="inlineStr">
        <is>
          <t>Laser session, body</t>
        </is>
      </c>
      <c r="I240" s="9">
        <f>IF($H240="","",IFERROR(INDEX('Settings'!$J$10:$J$39,MATCH($H240,'Settings'!$I$10:$I$39,0)),""))</f>
        <v/>
      </c>
      <c r="J240" s="6" t="n">
        <v>1</v>
      </c>
      <c r="K240" s="8" t="n">
        <v>1200</v>
      </c>
      <c r="L240" s="8" t="n"/>
      <c r="M240" s="14">
        <f>IF($A240="","",$J240*$K240)</f>
        <v/>
      </c>
      <c r="N240" s="14">
        <f>IF($A240="","",$M240-$L240)</f>
        <v/>
      </c>
      <c r="O240" s="4" t="inlineStr">
        <is>
          <t>Card</t>
        </is>
      </c>
      <c r="P240" s="15">
        <f>IF($A240="","",DATE(YEAR($A240),MONTH($A240),1))</f>
        <v/>
      </c>
      <c r="Q240" s="16">
        <f>IF($H240="","",$J240*IFERROR(INDEX('Settings'!$L$10:$L$39,MATCH($H240,'Settings'!$I$10:$I$39,0)),0))</f>
        <v/>
      </c>
      <c r="R240" s="17">
        <f>IF($A240="","",$A240-WEEKDAY($A240,2)+1)</f>
        <v/>
      </c>
    </row>
    <row r="241">
      <c r="A241" s="5" t="n">
        <v>46224</v>
      </c>
      <c r="B241" s="4" t="inlineStr">
        <is>
          <t>North branch</t>
        </is>
      </c>
      <c r="C241" s="4" t="inlineStr">
        <is>
          <t>North 2</t>
        </is>
      </c>
      <c r="D241" s="4" t="inlineStr">
        <is>
          <t>Dr Mohamed Adel</t>
        </is>
      </c>
      <c r="E241" s="4" t="inlineStr">
        <is>
          <t>P-3128</t>
        </is>
      </c>
      <c r="F241" s="4" t="inlineStr">
        <is>
          <t>Returning</t>
        </is>
      </c>
      <c r="G241" s="4" t="inlineStr">
        <is>
          <t>Google</t>
        </is>
      </c>
      <c r="H241" s="4" t="inlineStr">
        <is>
          <t>Laser session, body</t>
        </is>
      </c>
      <c r="I241" s="9">
        <f>IF($H241="","",IFERROR(INDEX('Settings'!$J$10:$J$39,MATCH($H241,'Settings'!$I$10:$I$39,0)),""))</f>
        <v/>
      </c>
      <c r="J241" s="6" t="n">
        <v>1</v>
      </c>
      <c r="K241" s="8" t="n">
        <v>1200</v>
      </c>
      <c r="L241" s="8" t="n">
        <v>60</v>
      </c>
      <c r="M241" s="14">
        <f>IF($A241="","",$J241*$K241)</f>
        <v/>
      </c>
      <c r="N241" s="14">
        <f>IF($A241="","",$M241-$L241)</f>
        <v/>
      </c>
      <c r="O241" s="4" t="inlineStr">
        <is>
          <t>Card</t>
        </is>
      </c>
      <c r="P241" s="15">
        <f>IF($A241="","",DATE(YEAR($A241),MONTH($A241),1))</f>
        <v/>
      </c>
      <c r="Q241" s="16">
        <f>IF($H241="","",$J241*IFERROR(INDEX('Settings'!$L$10:$L$39,MATCH($H241,'Settings'!$I$10:$I$39,0)),0))</f>
        <v/>
      </c>
      <c r="R241" s="17">
        <f>IF($A241="","",$A241-WEEKDAY($A241,2)+1)</f>
        <v/>
      </c>
    </row>
    <row r="242">
      <c r="A242" s="5" t="n">
        <v>46224</v>
      </c>
      <c r="B242" s="4" t="inlineStr">
        <is>
          <t>North branch</t>
        </is>
      </c>
      <c r="C242" s="4" t="inlineStr">
        <is>
          <t>North 2</t>
        </is>
      </c>
      <c r="D242" s="4" t="inlineStr">
        <is>
          <t>Dr Layla Al Qahtani</t>
        </is>
      </c>
      <c r="E242" s="4" t="inlineStr">
        <is>
          <t>P-2106</t>
        </is>
      </c>
      <c r="F242" s="4" t="inlineStr">
        <is>
          <t>Returning</t>
        </is>
      </c>
      <c r="G242" s="4" t="inlineStr">
        <is>
          <t>Walk-in</t>
        </is>
      </c>
      <c r="H242" s="4" t="inlineStr">
        <is>
          <t>Sunscreen cream</t>
        </is>
      </c>
      <c r="I242" s="9">
        <f>IF($H242="","",IFERROR(INDEX('Settings'!$J$10:$J$39,MATCH($H242,'Settings'!$I$10:$I$39,0)),""))</f>
        <v/>
      </c>
      <c r="J242" s="6" t="n">
        <v>2</v>
      </c>
      <c r="K242" s="8" t="n">
        <v>120</v>
      </c>
      <c r="L242" s="8" t="n"/>
      <c r="M242" s="14">
        <f>IF($A242="","",$J242*$K242)</f>
        <v/>
      </c>
      <c r="N242" s="14">
        <f>IF($A242="","",$M242-$L242)</f>
        <v/>
      </c>
      <c r="O242" s="4" t="inlineStr">
        <is>
          <t>Cash</t>
        </is>
      </c>
      <c r="P242" s="15">
        <f>IF($A242="","",DATE(YEAR($A242),MONTH($A242),1))</f>
        <v/>
      </c>
      <c r="Q242" s="16">
        <f>IF($H242="","",$J242*IFERROR(INDEX('Settings'!$L$10:$L$39,MATCH($H242,'Settings'!$I$10:$I$39,0)),0))</f>
        <v/>
      </c>
      <c r="R242" s="17">
        <f>IF($A242="","",$A242-WEEKDAY($A242,2)+1)</f>
        <v/>
      </c>
    </row>
    <row r="243">
      <c r="A243" s="5" t="n">
        <v>46224</v>
      </c>
      <c r="B243" s="4" t="inlineStr">
        <is>
          <t>North branch</t>
        </is>
      </c>
      <c r="C243" s="4" t="inlineStr">
        <is>
          <t>North 2</t>
        </is>
      </c>
      <c r="D243" s="4" t="inlineStr">
        <is>
          <t>Dr Khaled Youssef</t>
        </is>
      </c>
      <c r="E243" s="4" t="inlineStr">
        <is>
          <t>P-2691</t>
        </is>
      </c>
      <c r="F243" s="4" t="inlineStr">
        <is>
          <t>Returning</t>
        </is>
      </c>
      <c r="G243" s="4" t="inlineStr">
        <is>
          <t>Walk-in</t>
        </is>
      </c>
      <c r="H243" s="4" t="inlineStr">
        <is>
          <t>Skin tag removal</t>
        </is>
      </c>
      <c r="I243" s="9">
        <f>IF($H243="","",IFERROR(INDEX('Settings'!$J$10:$J$39,MATCH($H243,'Settings'!$I$10:$I$39,0)),""))</f>
        <v/>
      </c>
      <c r="J243" s="6" t="n">
        <v>1</v>
      </c>
      <c r="K243" s="8" t="n">
        <v>500</v>
      </c>
      <c r="L243" s="8" t="n">
        <v>20</v>
      </c>
      <c r="M243" s="14">
        <f>IF($A243="","",$J243*$K243)</f>
        <v/>
      </c>
      <c r="N243" s="14">
        <f>IF($A243="","",$M243-$L243)</f>
        <v/>
      </c>
      <c r="O243" s="4" t="inlineStr">
        <is>
          <t>Cash</t>
        </is>
      </c>
      <c r="P243" s="15">
        <f>IF($A243="","",DATE(YEAR($A243),MONTH($A243),1))</f>
        <v/>
      </c>
      <c r="Q243" s="16">
        <f>IF($H243="","",$J243*IFERROR(INDEX('Settings'!$L$10:$L$39,MATCH($H243,'Settings'!$I$10:$I$39,0)),0))</f>
        <v/>
      </c>
      <c r="R243" s="17">
        <f>IF($A243="","",$A243-WEEKDAY($A243,2)+1)</f>
        <v/>
      </c>
    </row>
    <row r="244">
      <c r="A244" s="5" t="n">
        <v>46225</v>
      </c>
      <c r="B244" s="4" t="inlineStr">
        <is>
          <t>Main branch</t>
        </is>
      </c>
      <c r="C244" s="4" t="inlineStr">
        <is>
          <t>Main 1</t>
        </is>
      </c>
      <c r="D244" s="4" t="inlineStr">
        <is>
          <t>Dr Ahmed Mansour</t>
        </is>
      </c>
      <c r="E244" s="4" t="inlineStr">
        <is>
          <t>P-2154</t>
        </is>
      </c>
      <c r="F244" s="4" t="inlineStr">
        <is>
          <t>New</t>
        </is>
      </c>
      <c r="G244" s="4" t="inlineStr">
        <is>
          <t>Instagram</t>
        </is>
      </c>
      <c r="H244" s="4" t="inlineStr">
        <is>
          <t>Physiotherapy session</t>
        </is>
      </c>
      <c r="I244" s="9">
        <f>IF($H244="","",IFERROR(INDEX('Settings'!$J$10:$J$39,MATCH($H244,'Settings'!$I$10:$I$39,0)),""))</f>
        <v/>
      </c>
      <c r="J244" s="6" t="n">
        <v>1</v>
      </c>
      <c r="K244" s="8" t="n">
        <v>300</v>
      </c>
      <c r="L244" s="8" t="n"/>
      <c r="M244" s="14">
        <f>IF($A244="","",$J244*$K244)</f>
        <v/>
      </c>
      <c r="N244" s="14">
        <f>IF($A244="","",$M244-$L244)</f>
        <v/>
      </c>
      <c r="O244" s="4" t="inlineStr">
        <is>
          <t>Card</t>
        </is>
      </c>
      <c r="P244" s="15">
        <f>IF($A244="","",DATE(YEAR($A244),MONTH($A244),1))</f>
        <v/>
      </c>
      <c r="Q244" s="16">
        <f>IF($H244="","",$J244*IFERROR(INDEX('Settings'!$L$10:$L$39,MATCH($H244,'Settings'!$I$10:$I$39,0)),0))</f>
        <v/>
      </c>
      <c r="R244" s="17">
        <f>IF($A244="","",$A244-WEEKDAY($A244,2)+1)</f>
        <v/>
      </c>
    </row>
    <row r="245">
      <c r="A245" s="5" t="n">
        <v>46225</v>
      </c>
      <c r="B245" s="4" t="inlineStr">
        <is>
          <t>Main branch</t>
        </is>
      </c>
      <c r="C245" s="4" t="inlineStr">
        <is>
          <t>Main 2</t>
        </is>
      </c>
      <c r="D245" s="4" t="inlineStr">
        <is>
          <t>Dr Sara Al Harbi</t>
        </is>
      </c>
      <c r="E245" s="4" t="inlineStr">
        <is>
          <t>P-3383</t>
        </is>
      </c>
      <c r="F245" s="4" t="inlineStr">
        <is>
          <t>Returning</t>
        </is>
      </c>
      <c r="G245" s="4" t="inlineStr">
        <is>
          <t>Google</t>
        </is>
      </c>
      <c r="H245" s="4" t="inlineStr">
        <is>
          <t>Laser session, face</t>
        </is>
      </c>
      <c r="I245" s="9">
        <f>IF($H245="","",IFERROR(INDEX('Settings'!$J$10:$J$39,MATCH($H245,'Settings'!$I$10:$I$39,0)),""))</f>
        <v/>
      </c>
      <c r="J245" s="6" t="n">
        <v>1</v>
      </c>
      <c r="K245" s="8" t="n">
        <v>600</v>
      </c>
      <c r="L245" s="8" t="n">
        <v>60</v>
      </c>
      <c r="M245" s="14">
        <f>IF($A245="","",$J245*$K245)</f>
        <v/>
      </c>
      <c r="N245" s="14">
        <f>IF($A245="","",$M245-$L245)</f>
        <v/>
      </c>
      <c r="O245" s="4" t="inlineStr">
        <is>
          <t>Cash</t>
        </is>
      </c>
      <c r="P245" s="15">
        <f>IF($A245="","",DATE(YEAR($A245),MONTH($A245),1))</f>
        <v/>
      </c>
      <c r="Q245" s="16">
        <f>IF($H245="","",$J245*IFERROR(INDEX('Settings'!$L$10:$L$39,MATCH($H245,'Settings'!$I$10:$I$39,0)),0))</f>
        <v/>
      </c>
      <c r="R245" s="17">
        <f>IF($A245="","",$A245-WEEKDAY($A245,2)+1)</f>
        <v/>
      </c>
    </row>
    <row r="246">
      <c r="A246" s="5" t="n">
        <v>46225</v>
      </c>
      <c r="B246" s="4" t="inlineStr">
        <is>
          <t>Main branch</t>
        </is>
      </c>
      <c r="C246" s="4" t="inlineStr">
        <is>
          <t>Main 2</t>
        </is>
      </c>
      <c r="D246" s="4" t="inlineStr">
        <is>
          <t>Dr Noura Al Subaie</t>
        </is>
      </c>
      <c r="E246" s="4" t="inlineStr">
        <is>
          <t>P-2216</t>
        </is>
      </c>
      <c r="F246" s="4" t="inlineStr">
        <is>
          <t>Returning</t>
        </is>
      </c>
      <c r="G246" s="4" t="inlineStr">
        <is>
          <t>Google</t>
        </is>
      </c>
      <c r="H246" s="4" t="inlineStr">
        <is>
          <t>Follow-up visit</t>
        </is>
      </c>
      <c r="I246" s="9">
        <f>IF($H246="","",IFERROR(INDEX('Settings'!$J$10:$J$39,MATCH($H246,'Settings'!$I$10:$I$39,0)),""))</f>
        <v/>
      </c>
      <c r="J246" s="6" t="n">
        <v>1</v>
      </c>
      <c r="K246" s="8" t="n">
        <v>150</v>
      </c>
      <c r="L246" s="8" t="n"/>
      <c r="M246" s="14">
        <f>IF($A246="","",$J246*$K246)</f>
        <v/>
      </c>
      <c r="N246" s="14">
        <f>IF($A246="","",$M246-$L246)</f>
        <v/>
      </c>
      <c r="O246" s="4" t="inlineStr">
        <is>
          <t>Card</t>
        </is>
      </c>
      <c r="P246" s="15">
        <f>IF($A246="","",DATE(YEAR($A246),MONTH($A246),1))</f>
        <v/>
      </c>
      <c r="Q246" s="16">
        <f>IF($H246="","",$J246*IFERROR(INDEX('Settings'!$L$10:$L$39,MATCH($H246,'Settings'!$I$10:$I$39,0)),0))</f>
        <v/>
      </c>
      <c r="R246" s="17">
        <f>IF($A246="","",$A246-WEEKDAY($A246,2)+1)</f>
        <v/>
      </c>
    </row>
    <row r="247">
      <c r="A247" s="5" t="n">
        <v>46225</v>
      </c>
      <c r="B247" s="4" t="inlineStr">
        <is>
          <t>Main branch</t>
        </is>
      </c>
      <c r="C247" s="4" t="inlineStr">
        <is>
          <t>Main 3</t>
        </is>
      </c>
      <c r="D247" s="4" t="inlineStr">
        <is>
          <t>Dr Ahmed Mansour</t>
        </is>
      </c>
      <c r="E247" s="4" t="inlineStr">
        <is>
          <t>P-2824</t>
        </is>
      </c>
      <c r="F247" s="4" t="inlineStr">
        <is>
          <t>Returning</t>
        </is>
      </c>
      <c r="G247" s="4" t="inlineStr">
        <is>
          <t>Referral</t>
        </is>
      </c>
      <c r="H247" s="4" t="inlineStr">
        <is>
          <t>Laser session, face</t>
        </is>
      </c>
      <c r="I247" s="9">
        <f>IF($H247="","",IFERROR(INDEX('Settings'!$J$10:$J$39,MATCH($H247,'Settings'!$I$10:$I$39,0)),""))</f>
        <v/>
      </c>
      <c r="J247" s="6" t="n">
        <v>1</v>
      </c>
      <c r="K247" s="8" t="n">
        <v>600</v>
      </c>
      <c r="L247" s="8" t="n"/>
      <c r="M247" s="14">
        <f>IF($A247="","",$J247*$K247)</f>
        <v/>
      </c>
      <c r="N247" s="14">
        <f>IF($A247="","",$M247-$L247)</f>
        <v/>
      </c>
      <c r="O247" s="4" t="inlineStr">
        <is>
          <t>Card</t>
        </is>
      </c>
      <c r="P247" s="15">
        <f>IF($A247="","",DATE(YEAR($A247),MONTH($A247),1))</f>
        <v/>
      </c>
      <c r="Q247" s="16">
        <f>IF($H247="","",$J247*IFERROR(INDEX('Settings'!$L$10:$L$39,MATCH($H247,'Settings'!$I$10:$I$39,0)),0))</f>
        <v/>
      </c>
      <c r="R247" s="17">
        <f>IF($A247="","",$A247-WEEKDAY($A247,2)+1)</f>
        <v/>
      </c>
    </row>
    <row r="248">
      <c r="A248" s="5" t="n">
        <v>46225</v>
      </c>
      <c r="B248" s="4" t="inlineStr">
        <is>
          <t>Main branch</t>
        </is>
      </c>
      <c r="C248" s="4" t="inlineStr">
        <is>
          <t>Main 4</t>
        </is>
      </c>
      <c r="D248" s="4" t="inlineStr">
        <is>
          <t>Dr Noura Al Subaie</t>
        </is>
      </c>
      <c r="E248" s="4" t="inlineStr">
        <is>
          <t>P-2753</t>
        </is>
      </c>
      <c r="F248" s="4" t="inlineStr">
        <is>
          <t>New</t>
        </is>
      </c>
      <c r="G248" s="4" t="inlineStr">
        <is>
          <t>Walk-in</t>
        </is>
      </c>
      <c r="H248" s="4" t="inlineStr">
        <is>
          <t>Laser session, face</t>
        </is>
      </c>
      <c r="I248" s="9">
        <f>IF($H248="","",IFERROR(INDEX('Settings'!$J$10:$J$39,MATCH($H248,'Settings'!$I$10:$I$39,0)),""))</f>
        <v/>
      </c>
      <c r="J248" s="6" t="n">
        <v>1</v>
      </c>
      <c r="K248" s="8" t="n">
        <v>600</v>
      </c>
      <c r="L248" s="8" t="n">
        <v>60</v>
      </c>
      <c r="M248" s="14">
        <f>IF($A248="","",$J248*$K248)</f>
        <v/>
      </c>
      <c r="N248" s="14">
        <f>IF($A248="","",$M248-$L248)</f>
        <v/>
      </c>
      <c r="O248" s="4" t="inlineStr">
        <is>
          <t>Cash</t>
        </is>
      </c>
      <c r="P248" s="15">
        <f>IF($A248="","",DATE(YEAR($A248),MONTH($A248),1))</f>
        <v/>
      </c>
      <c r="Q248" s="16">
        <f>IF($H248="","",$J248*IFERROR(INDEX('Settings'!$L$10:$L$39,MATCH($H248,'Settings'!$I$10:$I$39,0)),0))</f>
        <v/>
      </c>
      <c r="R248" s="17">
        <f>IF($A248="","",$A248-WEEKDAY($A248,2)+1)</f>
        <v/>
      </c>
    </row>
    <row r="249">
      <c r="A249" s="5" t="n">
        <v>46225</v>
      </c>
      <c r="B249" s="4" t="inlineStr">
        <is>
          <t>Main branch</t>
        </is>
      </c>
      <c r="C249" s="4" t="inlineStr">
        <is>
          <t>Main 4</t>
        </is>
      </c>
      <c r="D249" s="4" t="inlineStr">
        <is>
          <t>Dr Ahmed Mansour</t>
        </is>
      </c>
      <c r="E249" s="4" t="inlineStr">
        <is>
          <t>P-2372</t>
        </is>
      </c>
      <c r="F249" s="4" t="inlineStr">
        <is>
          <t>New</t>
        </is>
      </c>
      <c r="G249" s="4" t="inlineStr">
        <is>
          <t>Referral</t>
        </is>
      </c>
      <c r="H249" s="4" t="inlineStr">
        <is>
          <t>Laser session, body</t>
        </is>
      </c>
      <c r="I249" s="9">
        <f>IF($H249="","",IFERROR(INDEX('Settings'!$J$10:$J$39,MATCH($H249,'Settings'!$I$10:$I$39,0)),""))</f>
        <v/>
      </c>
      <c r="J249" s="6" t="n">
        <v>1</v>
      </c>
      <c r="K249" s="8" t="n">
        <v>1200</v>
      </c>
      <c r="L249" s="8" t="n"/>
      <c r="M249" s="14">
        <f>IF($A249="","",$J249*$K249)</f>
        <v/>
      </c>
      <c r="N249" s="14">
        <f>IF($A249="","",$M249-$L249)</f>
        <v/>
      </c>
      <c r="O249" s="4" t="inlineStr">
        <is>
          <t>Card</t>
        </is>
      </c>
      <c r="P249" s="15">
        <f>IF($A249="","",DATE(YEAR($A249),MONTH($A249),1))</f>
        <v/>
      </c>
      <c r="Q249" s="16">
        <f>IF($H249="","",$J249*IFERROR(INDEX('Settings'!$L$10:$L$39,MATCH($H249,'Settings'!$I$10:$I$39,0)),0))</f>
        <v/>
      </c>
      <c r="R249" s="17">
        <f>IF($A249="","",$A249-WEEKDAY($A249,2)+1)</f>
        <v/>
      </c>
    </row>
    <row r="250">
      <c r="A250" s="5" t="n">
        <v>46225</v>
      </c>
      <c r="B250" s="4" t="inlineStr">
        <is>
          <t>North branch</t>
        </is>
      </c>
      <c r="C250" s="4" t="inlineStr">
        <is>
          <t>North 1</t>
        </is>
      </c>
      <c r="D250" s="4" t="inlineStr">
        <is>
          <t>Dr Layla Al Qahtani</t>
        </is>
      </c>
      <c r="E250" s="4" t="inlineStr">
        <is>
          <t>P-2322</t>
        </is>
      </c>
      <c r="F250" s="4" t="inlineStr">
        <is>
          <t>New</t>
        </is>
      </c>
      <c r="G250" s="4" t="inlineStr">
        <is>
          <t>Google</t>
        </is>
      </c>
      <c r="H250" s="4" t="inlineStr">
        <is>
          <t>Facial cleansing</t>
        </is>
      </c>
      <c r="I250" s="9">
        <f>IF($H250="","",IFERROR(INDEX('Settings'!$J$10:$J$39,MATCH($H250,'Settings'!$I$10:$I$39,0)),""))</f>
        <v/>
      </c>
      <c r="J250" s="6" t="n">
        <v>1</v>
      </c>
      <c r="K250" s="8" t="n">
        <v>400</v>
      </c>
      <c r="L250" s="8" t="n"/>
      <c r="M250" s="14">
        <f>IF($A250="","",$J250*$K250)</f>
        <v/>
      </c>
      <c r="N250" s="14">
        <f>IF($A250="","",$M250-$L250)</f>
        <v/>
      </c>
      <c r="O250" s="4" t="inlineStr">
        <is>
          <t>Insurance</t>
        </is>
      </c>
      <c r="P250" s="15">
        <f>IF($A250="","",DATE(YEAR($A250),MONTH($A250),1))</f>
        <v/>
      </c>
      <c r="Q250" s="16">
        <f>IF($H250="","",$J250*IFERROR(INDEX('Settings'!$L$10:$L$39,MATCH($H250,'Settings'!$I$10:$I$39,0)),0))</f>
        <v/>
      </c>
      <c r="R250" s="17">
        <f>IF($A250="","",$A250-WEEKDAY($A250,2)+1)</f>
        <v/>
      </c>
    </row>
    <row r="251">
      <c r="A251" s="5" t="n">
        <v>46225</v>
      </c>
      <c r="B251" s="4" t="inlineStr">
        <is>
          <t>North branch</t>
        </is>
      </c>
      <c r="C251" s="4" t="inlineStr">
        <is>
          <t>North 1</t>
        </is>
      </c>
      <c r="D251" s="4" t="inlineStr">
        <is>
          <t>Dr Khaled Youssef</t>
        </is>
      </c>
      <c r="E251" s="4" t="inlineStr">
        <is>
          <t>P-3275</t>
        </is>
      </c>
      <c r="F251" s="4" t="inlineStr">
        <is>
          <t>New</t>
        </is>
      </c>
      <c r="G251" s="4" t="inlineStr">
        <is>
          <t>Referral</t>
        </is>
      </c>
      <c r="H251" s="4" t="inlineStr">
        <is>
          <t>Laser session, body</t>
        </is>
      </c>
      <c r="I251" s="9">
        <f>IF($H251="","",IFERROR(INDEX('Settings'!$J$10:$J$39,MATCH($H251,'Settings'!$I$10:$I$39,0)),""))</f>
        <v/>
      </c>
      <c r="J251" s="6" t="n">
        <v>1</v>
      </c>
      <c r="K251" s="8" t="n">
        <v>1200</v>
      </c>
      <c r="L251" s="8" t="n"/>
      <c r="M251" s="14">
        <f>IF($A251="","",$J251*$K251)</f>
        <v/>
      </c>
      <c r="N251" s="14">
        <f>IF($A251="","",$M251-$L251)</f>
        <v/>
      </c>
      <c r="O251" s="4" t="inlineStr">
        <is>
          <t>Cash</t>
        </is>
      </c>
      <c r="P251" s="15">
        <f>IF($A251="","",DATE(YEAR($A251),MONTH($A251),1))</f>
        <v/>
      </c>
      <c r="Q251" s="16">
        <f>IF($H251="","",$J251*IFERROR(INDEX('Settings'!$L$10:$L$39,MATCH($H251,'Settings'!$I$10:$I$39,0)),0))</f>
        <v/>
      </c>
      <c r="R251" s="17">
        <f>IF($A251="","",$A251-WEEKDAY($A251,2)+1)</f>
        <v/>
      </c>
    </row>
    <row r="252">
      <c r="A252" s="5" t="n">
        <v>46225</v>
      </c>
      <c r="B252" s="4" t="inlineStr">
        <is>
          <t>North branch</t>
        </is>
      </c>
      <c r="C252" s="4" t="inlineStr">
        <is>
          <t>North 2</t>
        </is>
      </c>
      <c r="D252" s="4" t="inlineStr">
        <is>
          <t>Dr Khaled Youssef</t>
        </is>
      </c>
      <c r="E252" s="4" t="inlineStr">
        <is>
          <t>P-3348</t>
        </is>
      </c>
      <c r="F252" s="4" t="inlineStr">
        <is>
          <t>New</t>
        </is>
      </c>
      <c r="G252" s="4" t="inlineStr">
        <is>
          <t>Instagram</t>
        </is>
      </c>
      <c r="H252" s="4" t="inlineStr">
        <is>
          <t>Follow-up visit</t>
        </is>
      </c>
      <c r="I252" s="9">
        <f>IF($H252="","",IFERROR(INDEX('Settings'!$J$10:$J$39,MATCH($H252,'Settings'!$I$10:$I$39,0)),""))</f>
        <v/>
      </c>
      <c r="J252" s="6" t="n">
        <v>1</v>
      </c>
      <c r="K252" s="8" t="n">
        <v>150</v>
      </c>
      <c r="L252" s="8" t="n"/>
      <c r="M252" s="14">
        <f>IF($A252="","",$J252*$K252)</f>
        <v/>
      </c>
      <c r="N252" s="14">
        <f>IF($A252="","",$M252-$L252)</f>
        <v/>
      </c>
      <c r="O252" s="4" t="inlineStr">
        <is>
          <t>Cash</t>
        </is>
      </c>
      <c r="P252" s="15">
        <f>IF($A252="","",DATE(YEAR($A252),MONTH($A252),1))</f>
        <v/>
      </c>
      <c r="Q252" s="16">
        <f>IF($H252="","",$J252*IFERROR(INDEX('Settings'!$L$10:$L$39,MATCH($H252,'Settings'!$I$10:$I$39,0)),0))</f>
        <v/>
      </c>
      <c r="R252" s="17">
        <f>IF($A252="","",$A252-WEEKDAY($A252,2)+1)</f>
        <v/>
      </c>
    </row>
    <row r="253">
      <c r="A253" s="5" t="n">
        <v>46225</v>
      </c>
      <c r="B253" s="4" t="inlineStr">
        <is>
          <t>North branch</t>
        </is>
      </c>
      <c r="C253" s="4" t="inlineStr">
        <is>
          <t>North 2</t>
        </is>
      </c>
      <c r="D253" s="4" t="inlineStr">
        <is>
          <t>Dr Layla Al Qahtani</t>
        </is>
      </c>
      <c r="E253" s="4" t="inlineStr">
        <is>
          <t>P-2329</t>
        </is>
      </c>
      <c r="F253" s="4" t="inlineStr">
        <is>
          <t>Returning</t>
        </is>
      </c>
      <c r="G253" s="4" t="inlineStr">
        <is>
          <t>Referral</t>
        </is>
      </c>
      <c r="H253" s="4" t="inlineStr">
        <is>
          <t>Follow-up visit</t>
        </is>
      </c>
      <c r="I253" s="9">
        <f>IF($H253="","",IFERROR(INDEX('Settings'!$J$10:$J$39,MATCH($H253,'Settings'!$I$10:$I$39,0)),""))</f>
        <v/>
      </c>
      <c r="J253" s="6" t="n">
        <v>1</v>
      </c>
      <c r="K253" s="8" t="n">
        <v>150</v>
      </c>
      <c r="L253" s="8" t="n"/>
      <c r="M253" s="14">
        <f>IF($A253="","",$J253*$K253)</f>
        <v/>
      </c>
      <c r="N253" s="14">
        <f>IF($A253="","",$M253-$L253)</f>
        <v/>
      </c>
      <c r="O253" s="4" t="inlineStr">
        <is>
          <t>Transfer</t>
        </is>
      </c>
      <c r="P253" s="15">
        <f>IF($A253="","",DATE(YEAR($A253),MONTH($A253),1))</f>
        <v/>
      </c>
      <c r="Q253" s="16">
        <f>IF($H253="","",$J253*IFERROR(INDEX('Settings'!$L$10:$L$39,MATCH($H253,'Settings'!$I$10:$I$39,0)),0))</f>
        <v/>
      </c>
      <c r="R253" s="17">
        <f>IF($A253="","",$A253-WEEKDAY($A253,2)+1)</f>
        <v/>
      </c>
    </row>
    <row r="254">
      <c r="A254" s="5" t="n">
        <v>46225</v>
      </c>
      <c r="B254" s="4" t="inlineStr">
        <is>
          <t>North branch</t>
        </is>
      </c>
      <c r="C254" s="4" t="inlineStr">
        <is>
          <t>North 2</t>
        </is>
      </c>
      <c r="D254" s="4" t="inlineStr">
        <is>
          <t>Dr Layla Al Qahtani</t>
        </is>
      </c>
      <c r="E254" s="4" t="inlineStr">
        <is>
          <t>P-3379</t>
        </is>
      </c>
      <c r="F254" s="4" t="inlineStr">
        <is>
          <t>New</t>
        </is>
      </c>
      <c r="G254" s="4" t="inlineStr">
        <is>
          <t>WhatsApp</t>
        </is>
      </c>
      <c r="H254" s="4" t="inlineStr">
        <is>
          <t>Physiotherapy session</t>
        </is>
      </c>
      <c r="I254" s="9">
        <f>IF($H254="","",IFERROR(INDEX('Settings'!$J$10:$J$39,MATCH($H254,'Settings'!$I$10:$I$39,0)),""))</f>
        <v/>
      </c>
      <c r="J254" s="6" t="n">
        <v>1</v>
      </c>
      <c r="K254" s="8" t="n">
        <v>300</v>
      </c>
      <c r="L254" s="8" t="n">
        <v>30</v>
      </c>
      <c r="M254" s="14">
        <f>IF($A254="","",$J254*$K254)</f>
        <v/>
      </c>
      <c r="N254" s="14">
        <f>IF($A254="","",$M254-$L254)</f>
        <v/>
      </c>
      <c r="O254" s="4" t="inlineStr">
        <is>
          <t>Card</t>
        </is>
      </c>
      <c r="P254" s="15">
        <f>IF($A254="","",DATE(YEAR($A254),MONTH($A254),1))</f>
        <v/>
      </c>
      <c r="Q254" s="16">
        <f>IF($H254="","",$J254*IFERROR(INDEX('Settings'!$L$10:$L$39,MATCH($H254,'Settings'!$I$10:$I$39,0)),0))</f>
        <v/>
      </c>
      <c r="R254" s="17">
        <f>IF($A254="","",$A254-WEEKDAY($A254,2)+1)</f>
        <v/>
      </c>
    </row>
    <row r="255">
      <c r="A255" s="5" t="n">
        <v>46226</v>
      </c>
      <c r="B255" s="4" t="inlineStr">
        <is>
          <t>Main branch</t>
        </is>
      </c>
      <c r="C255" s="4" t="inlineStr">
        <is>
          <t>Main 1</t>
        </is>
      </c>
      <c r="D255" s="4" t="inlineStr">
        <is>
          <t>Dr Ahmed Mansour</t>
        </is>
      </c>
      <c r="E255" s="4" t="inlineStr">
        <is>
          <t>P-3472</t>
        </is>
      </c>
      <c r="F255" s="4" t="inlineStr">
        <is>
          <t>Returning</t>
        </is>
      </c>
      <c r="G255" s="4" t="inlineStr">
        <is>
          <t>Google</t>
        </is>
      </c>
      <c r="H255" s="4" t="inlineStr">
        <is>
          <t>Vitamin C serum</t>
        </is>
      </c>
      <c r="I255" s="9">
        <f>IF($H255="","",IFERROR(INDEX('Settings'!$J$10:$J$39,MATCH($H255,'Settings'!$I$10:$I$39,0)),""))</f>
        <v/>
      </c>
      <c r="J255" s="6" t="n">
        <v>2</v>
      </c>
      <c r="K255" s="8" t="n">
        <v>220</v>
      </c>
      <c r="L255" s="8" t="n"/>
      <c r="M255" s="14">
        <f>IF($A255="","",$J255*$K255)</f>
        <v/>
      </c>
      <c r="N255" s="14">
        <f>IF($A255="","",$M255-$L255)</f>
        <v/>
      </c>
      <c r="O255" s="4" t="inlineStr">
        <is>
          <t>Card</t>
        </is>
      </c>
      <c r="P255" s="15">
        <f>IF($A255="","",DATE(YEAR($A255),MONTH($A255),1))</f>
        <v/>
      </c>
      <c r="Q255" s="16">
        <f>IF($H255="","",$J255*IFERROR(INDEX('Settings'!$L$10:$L$39,MATCH($H255,'Settings'!$I$10:$I$39,0)),0))</f>
        <v/>
      </c>
      <c r="R255" s="17">
        <f>IF($A255="","",$A255-WEEKDAY($A255,2)+1)</f>
        <v/>
      </c>
    </row>
    <row r="256">
      <c r="A256" s="5" t="n">
        <v>46226</v>
      </c>
      <c r="B256" s="4" t="inlineStr">
        <is>
          <t>Main branch</t>
        </is>
      </c>
      <c r="C256" s="4" t="inlineStr">
        <is>
          <t>Main 1</t>
        </is>
      </c>
      <c r="D256" s="4" t="inlineStr">
        <is>
          <t>Dr Sara Al Harbi</t>
        </is>
      </c>
      <c r="E256" s="4" t="inlineStr">
        <is>
          <t>P-3203</t>
        </is>
      </c>
      <c r="F256" s="4" t="inlineStr">
        <is>
          <t>Returning</t>
        </is>
      </c>
      <c r="G256" s="4" t="inlineStr">
        <is>
          <t>Walk-in</t>
        </is>
      </c>
      <c r="H256" s="4" t="inlineStr">
        <is>
          <t>Laser session, face</t>
        </is>
      </c>
      <c r="I256" s="9">
        <f>IF($H256="","",IFERROR(INDEX('Settings'!$J$10:$J$39,MATCH($H256,'Settings'!$I$10:$I$39,0)),""))</f>
        <v/>
      </c>
      <c r="J256" s="6" t="n">
        <v>1</v>
      </c>
      <c r="K256" s="8" t="n">
        <v>600</v>
      </c>
      <c r="L256" s="8" t="n"/>
      <c r="M256" s="14">
        <f>IF($A256="","",$J256*$K256)</f>
        <v/>
      </c>
      <c r="N256" s="14">
        <f>IF($A256="","",$M256-$L256)</f>
        <v/>
      </c>
      <c r="O256" s="4" t="inlineStr">
        <is>
          <t>Cash</t>
        </is>
      </c>
      <c r="P256" s="15">
        <f>IF($A256="","",DATE(YEAR($A256),MONTH($A256),1))</f>
        <v/>
      </c>
      <c r="Q256" s="16">
        <f>IF($H256="","",$J256*IFERROR(INDEX('Settings'!$L$10:$L$39,MATCH($H256,'Settings'!$I$10:$I$39,0)),0))</f>
        <v/>
      </c>
      <c r="R256" s="17">
        <f>IF($A256="","",$A256-WEEKDAY($A256,2)+1)</f>
        <v/>
      </c>
    </row>
    <row r="257">
      <c r="A257" s="5" t="n">
        <v>46226</v>
      </c>
      <c r="B257" s="4" t="inlineStr">
        <is>
          <t>Main branch</t>
        </is>
      </c>
      <c r="C257" s="4" t="inlineStr">
        <is>
          <t>Main 1</t>
        </is>
      </c>
      <c r="D257" s="4" t="inlineStr">
        <is>
          <t>Dr Sara Al Harbi</t>
        </is>
      </c>
      <c r="E257" s="4" t="inlineStr">
        <is>
          <t>P-3330</t>
        </is>
      </c>
      <c r="F257" s="4" t="inlineStr">
        <is>
          <t>Returning</t>
        </is>
      </c>
      <c r="G257" s="4" t="inlineStr">
        <is>
          <t>Walk-in</t>
        </is>
      </c>
      <c r="H257" s="4" t="inlineStr">
        <is>
          <t>Botulinum toxin</t>
        </is>
      </c>
      <c r="I257" s="9">
        <f>IF($H257="","",IFERROR(INDEX('Settings'!$J$10:$J$39,MATCH($H257,'Settings'!$I$10:$I$39,0)),""))</f>
        <v/>
      </c>
      <c r="J257" s="6" t="n">
        <v>1</v>
      </c>
      <c r="K257" s="8" t="n">
        <v>1500</v>
      </c>
      <c r="L257" s="8" t="n"/>
      <c r="M257" s="14">
        <f>IF($A257="","",$J257*$K257)</f>
        <v/>
      </c>
      <c r="N257" s="14">
        <f>IF($A257="","",$M257-$L257)</f>
        <v/>
      </c>
      <c r="O257" s="4" t="inlineStr">
        <is>
          <t>Card</t>
        </is>
      </c>
      <c r="P257" s="15">
        <f>IF($A257="","",DATE(YEAR($A257),MONTH($A257),1))</f>
        <v/>
      </c>
      <c r="Q257" s="16">
        <f>IF($H257="","",$J257*IFERROR(INDEX('Settings'!$L$10:$L$39,MATCH($H257,'Settings'!$I$10:$I$39,0)),0))</f>
        <v/>
      </c>
      <c r="R257" s="17">
        <f>IF($A257="","",$A257-WEEKDAY($A257,2)+1)</f>
        <v/>
      </c>
    </row>
    <row r="258">
      <c r="A258" s="5" t="n">
        <v>46226</v>
      </c>
      <c r="B258" s="4" t="inlineStr">
        <is>
          <t>Main branch</t>
        </is>
      </c>
      <c r="C258" s="4" t="inlineStr">
        <is>
          <t>Main 1</t>
        </is>
      </c>
      <c r="D258" s="4" t="inlineStr">
        <is>
          <t>Dr Sara Al Harbi</t>
        </is>
      </c>
      <c r="E258" s="4" t="inlineStr">
        <is>
          <t>P-3351</t>
        </is>
      </c>
      <c r="F258" s="4" t="inlineStr">
        <is>
          <t>New</t>
        </is>
      </c>
      <c r="G258" s="4" t="inlineStr">
        <is>
          <t>Instagram</t>
        </is>
      </c>
      <c r="H258" s="4" t="inlineStr">
        <is>
          <t>Follow-up visit</t>
        </is>
      </c>
      <c r="I258" s="9">
        <f>IF($H258="","",IFERROR(INDEX('Settings'!$J$10:$J$39,MATCH($H258,'Settings'!$I$10:$I$39,0)),""))</f>
        <v/>
      </c>
      <c r="J258" s="6" t="n">
        <v>1</v>
      </c>
      <c r="K258" s="8" t="n">
        <v>150</v>
      </c>
      <c r="L258" s="8" t="n"/>
      <c r="M258" s="14">
        <f>IF($A258="","",$J258*$K258)</f>
        <v/>
      </c>
      <c r="N258" s="14">
        <f>IF($A258="","",$M258-$L258)</f>
        <v/>
      </c>
      <c r="O258" s="4" t="inlineStr">
        <is>
          <t>Card</t>
        </is>
      </c>
      <c r="P258" s="15">
        <f>IF($A258="","",DATE(YEAR($A258),MONTH($A258),1))</f>
        <v/>
      </c>
      <c r="Q258" s="16">
        <f>IF($H258="","",$J258*IFERROR(INDEX('Settings'!$L$10:$L$39,MATCH($H258,'Settings'!$I$10:$I$39,0)),0))</f>
        <v/>
      </c>
      <c r="R258" s="17">
        <f>IF($A258="","",$A258-WEEKDAY($A258,2)+1)</f>
        <v/>
      </c>
    </row>
    <row r="259">
      <c r="A259" s="5" t="n">
        <v>46226</v>
      </c>
      <c r="B259" s="4" t="inlineStr">
        <is>
          <t>Main branch</t>
        </is>
      </c>
      <c r="C259" s="4" t="inlineStr">
        <is>
          <t>Main 1</t>
        </is>
      </c>
      <c r="D259" s="4" t="inlineStr">
        <is>
          <t>Dr Ahmed Mansour</t>
        </is>
      </c>
      <c r="E259" s="4" t="inlineStr">
        <is>
          <t>P-2167</t>
        </is>
      </c>
      <c r="F259" s="4" t="inlineStr">
        <is>
          <t>New</t>
        </is>
      </c>
      <c r="G259" s="4" t="inlineStr">
        <is>
          <t>WhatsApp</t>
        </is>
      </c>
      <c r="H259" s="4" t="inlineStr">
        <is>
          <t>Physiotherapy session</t>
        </is>
      </c>
      <c r="I259" s="9">
        <f>IF($H259="","",IFERROR(INDEX('Settings'!$J$10:$J$39,MATCH($H259,'Settings'!$I$10:$I$39,0)),""))</f>
        <v/>
      </c>
      <c r="J259" s="6" t="n">
        <v>1</v>
      </c>
      <c r="K259" s="8" t="n">
        <v>300</v>
      </c>
      <c r="L259" s="8" t="n"/>
      <c r="M259" s="14">
        <f>IF($A259="","",$J259*$K259)</f>
        <v/>
      </c>
      <c r="N259" s="14">
        <f>IF($A259="","",$M259-$L259)</f>
        <v/>
      </c>
      <c r="O259" s="4" t="inlineStr">
        <is>
          <t>Card</t>
        </is>
      </c>
      <c r="P259" s="15">
        <f>IF($A259="","",DATE(YEAR($A259),MONTH($A259),1))</f>
        <v/>
      </c>
      <c r="Q259" s="16">
        <f>IF($H259="","",$J259*IFERROR(INDEX('Settings'!$L$10:$L$39,MATCH($H259,'Settings'!$I$10:$I$39,0)),0))</f>
        <v/>
      </c>
      <c r="R259" s="17">
        <f>IF($A259="","",$A259-WEEKDAY($A259,2)+1)</f>
        <v/>
      </c>
    </row>
    <row r="260">
      <c r="A260" s="5" t="n">
        <v>46226</v>
      </c>
      <c r="B260" s="4" t="inlineStr">
        <is>
          <t>Main branch</t>
        </is>
      </c>
      <c r="C260" s="4" t="inlineStr">
        <is>
          <t>Main 1</t>
        </is>
      </c>
      <c r="D260" s="4" t="inlineStr">
        <is>
          <t>Dr Ahmed Mansour</t>
        </is>
      </c>
      <c r="E260" s="4" t="inlineStr">
        <is>
          <t>P-3104</t>
        </is>
      </c>
      <c r="F260" s="4" t="inlineStr">
        <is>
          <t>New</t>
        </is>
      </c>
      <c r="G260" s="4" t="inlineStr">
        <is>
          <t>Instagram</t>
        </is>
      </c>
      <c r="H260" s="4" t="inlineStr">
        <is>
          <t>Chemical peel</t>
        </is>
      </c>
      <c r="I260" s="9">
        <f>IF($H260="","",IFERROR(INDEX('Settings'!$J$10:$J$39,MATCH($H260,'Settings'!$I$10:$I$39,0)),""))</f>
        <v/>
      </c>
      <c r="J260" s="6" t="n">
        <v>1</v>
      </c>
      <c r="K260" s="8" t="n">
        <v>800</v>
      </c>
      <c r="L260" s="8" t="n"/>
      <c r="M260" s="14">
        <f>IF($A260="","",$J260*$K260)</f>
        <v/>
      </c>
      <c r="N260" s="14">
        <f>IF($A260="","",$M260-$L260)</f>
        <v/>
      </c>
      <c r="O260" s="4" t="inlineStr">
        <is>
          <t>Card</t>
        </is>
      </c>
      <c r="P260" s="15">
        <f>IF($A260="","",DATE(YEAR($A260),MONTH($A260),1))</f>
        <v/>
      </c>
      <c r="Q260" s="16">
        <f>IF($H260="","",$J260*IFERROR(INDEX('Settings'!$L$10:$L$39,MATCH($H260,'Settings'!$I$10:$I$39,0)),0))</f>
        <v/>
      </c>
      <c r="R260" s="17">
        <f>IF($A260="","",$A260-WEEKDAY($A260,2)+1)</f>
        <v/>
      </c>
    </row>
    <row r="261">
      <c r="A261" s="5" t="n">
        <v>46226</v>
      </c>
      <c r="B261" s="4" t="inlineStr">
        <is>
          <t>Main branch</t>
        </is>
      </c>
      <c r="C261" s="4" t="inlineStr">
        <is>
          <t>Main 1</t>
        </is>
      </c>
      <c r="D261" s="4" t="inlineStr">
        <is>
          <t>Dr Sara Al Harbi</t>
        </is>
      </c>
      <c r="E261" s="4" t="inlineStr">
        <is>
          <t>P-3245</t>
        </is>
      </c>
      <c r="F261" s="4" t="inlineStr">
        <is>
          <t>Returning</t>
        </is>
      </c>
      <c r="G261" s="4" t="inlineStr">
        <is>
          <t>Referral</t>
        </is>
      </c>
      <c r="H261" s="4" t="inlineStr">
        <is>
          <t>Follow-up visit</t>
        </is>
      </c>
      <c r="I261" s="9">
        <f>IF($H261="","",IFERROR(INDEX('Settings'!$J$10:$J$39,MATCH($H261,'Settings'!$I$10:$I$39,0)),""))</f>
        <v/>
      </c>
      <c r="J261" s="6" t="n">
        <v>1</v>
      </c>
      <c r="K261" s="8" t="n">
        <v>150</v>
      </c>
      <c r="L261" s="8" t="n"/>
      <c r="M261" s="14">
        <f>IF($A261="","",$J261*$K261)</f>
        <v/>
      </c>
      <c r="N261" s="14">
        <f>IF($A261="","",$M261-$L261)</f>
        <v/>
      </c>
      <c r="O261" s="4" t="inlineStr">
        <is>
          <t>Cash</t>
        </is>
      </c>
      <c r="P261" s="15">
        <f>IF($A261="","",DATE(YEAR($A261),MONTH($A261),1))</f>
        <v/>
      </c>
      <c r="Q261" s="16">
        <f>IF($H261="","",$J261*IFERROR(INDEX('Settings'!$L$10:$L$39,MATCH($H261,'Settings'!$I$10:$I$39,0)),0))</f>
        <v/>
      </c>
      <c r="R261" s="17">
        <f>IF($A261="","",$A261-WEEKDAY($A261,2)+1)</f>
        <v/>
      </c>
    </row>
    <row r="262">
      <c r="A262" s="5" t="n">
        <v>46226</v>
      </c>
      <c r="B262" s="4" t="inlineStr">
        <is>
          <t>Main branch</t>
        </is>
      </c>
      <c r="C262" s="4" t="inlineStr">
        <is>
          <t>Main 2</t>
        </is>
      </c>
      <c r="D262" s="4" t="inlineStr">
        <is>
          <t>Dr Sara Al Harbi</t>
        </is>
      </c>
      <c r="E262" s="4" t="inlineStr">
        <is>
          <t>P-3013</t>
        </is>
      </c>
      <c r="F262" s="4" t="inlineStr">
        <is>
          <t>Returning</t>
        </is>
      </c>
      <c r="G262" s="4" t="inlineStr">
        <is>
          <t>Referral</t>
        </is>
      </c>
      <c r="H262" s="4" t="inlineStr">
        <is>
          <t>Physiotherapy session</t>
        </is>
      </c>
      <c r="I262" s="9">
        <f>IF($H262="","",IFERROR(INDEX('Settings'!$J$10:$J$39,MATCH($H262,'Settings'!$I$10:$I$39,0)),""))</f>
        <v/>
      </c>
      <c r="J262" s="6" t="n">
        <v>1</v>
      </c>
      <c r="K262" s="8" t="n">
        <v>300</v>
      </c>
      <c r="L262" s="8" t="n">
        <v>30</v>
      </c>
      <c r="M262" s="14">
        <f>IF($A262="","",$J262*$K262)</f>
        <v/>
      </c>
      <c r="N262" s="14">
        <f>IF($A262="","",$M262-$L262)</f>
        <v/>
      </c>
      <c r="O262" s="4" t="inlineStr">
        <is>
          <t>Cash</t>
        </is>
      </c>
      <c r="P262" s="15">
        <f>IF($A262="","",DATE(YEAR($A262),MONTH($A262),1))</f>
        <v/>
      </c>
      <c r="Q262" s="16">
        <f>IF($H262="","",$J262*IFERROR(INDEX('Settings'!$L$10:$L$39,MATCH($H262,'Settings'!$I$10:$I$39,0)),0))</f>
        <v/>
      </c>
      <c r="R262" s="17">
        <f>IF($A262="","",$A262-WEEKDAY($A262,2)+1)</f>
        <v/>
      </c>
    </row>
    <row r="263">
      <c r="A263" s="5" t="n">
        <v>46226</v>
      </c>
      <c r="B263" s="4" t="inlineStr">
        <is>
          <t>Main branch</t>
        </is>
      </c>
      <c r="C263" s="4" t="inlineStr">
        <is>
          <t>Main 3</t>
        </is>
      </c>
      <c r="D263" s="4" t="inlineStr">
        <is>
          <t>Dr Sara Al Harbi</t>
        </is>
      </c>
      <c r="E263" s="4" t="inlineStr">
        <is>
          <t>P-3379</t>
        </is>
      </c>
      <c r="F263" s="4" t="inlineStr">
        <is>
          <t>Returning</t>
        </is>
      </c>
      <c r="G263" s="4" t="inlineStr">
        <is>
          <t>Google</t>
        </is>
      </c>
      <c r="H263" s="4" t="inlineStr">
        <is>
          <t>Follow-up visit</t>
        </is>
      </c>
      <c r="I263" s="9">
        <f>IF($H263="","",IFERROR(INDEX('Settings'!$J$10:$J$39,MATCH($H263,'Settings'!$I$10:$I$39,0)),""))</f>
        <v/>
      </c>
      <c r="J263" s="6" t="n">
        <v>1</v>
      </c>
      <c r="K263" s="8" t="n">
        <v>150</v>
      </c>
      <c r="L263" s="8" t="n"/>
      <c r="M263" s="14">
        <f>IF($A263="","",$J263*$K263)</f>
        <v/>
      </c>
      <c r="N263" s="14">
        <f>IF($A263="","",$M263-$L263)</f>
        <v/>
      </c>
      <c r="O263" s="4" t="inlineStr">
        <is>
          <t>Cash</t>
        </is>
      </c>
      <c r="P263" s="15">
        <f>IF($A263="","",DATE(YEAR($A263),MONTH($A263),1))</f>
        <v/>
      </c>
      <c r="Q263" s="16">
        <f>IF($H263="","",$J263*IFERROR(INDEX('Settings'!$L$10:$L$39,MATCH($H263,'Settings'!$I$10:$I$39,0)),0))</f>
        <v/>
      </c>
      <c r="R263" s="17">
        <f>IF($A263="","",$A263-WEEKDAY($A263,2)+1)</f>
        <v/>
      </c>
    </row>
    <row r="264">
      <c r="A264" s="5" t="n">
        <v>46226</v>
      </c>
      <c r="B264" s="4" t="inlineStr">
        <is>
          <t>Main branch</t>
        </is>
      </c>
      <c r="C264" s="4" t="inlineStr">
        <is>
          <t>Main 3</t>
        </is>
      </c>
      <c r="D264" s="4" t="inlineStr">
        <is>
          <t>Dr Ahmed Mansour</t>
        </is>
      </c>
      <c r="E264" s="4" t="inlineStr">
        <is>
          <t>P-2265</t>
        </is>
      </c>
      <c r="F264" s="4" t="inlineStr">
        <is>
          <t>Returning</t>
        </is>
      </c>
      <c r="G264" s="4" t="inlineStr">
        <is>
          <t>Google</t>
        </is>
      </c>
      <c r="H264" s="4" t="inlineStr">
        <is>
          <t>Botulinum toxin</t>
        </is>
      </c>
      <c r="I264" s="9">
        <f>IF($H264="","",IFERROR(INDEX('Settings'!$J$10:$J$39,MATCH($H264,'Settings'!$I$10:$I$39,0)),""))</f>
        <v/>
      </c>
      <c r="J264" s="6" t="n">
        <v>1</v>
      </c>
      <c r="K264" s="8" t="n">
        <v>1500</v>
      </c>
      <c r="L264" s="8" t="n"/>
      <c r="M264" s="14">
        <f>IF($A264="","",$J264*$K264)</f>
        <v/>
      </c>
      <c r="N264" s="14">
        <f>IF($A264="","",$M264-$L264)</f>
        <v/>
      </c>
      <c r="O264" s="4" t="inlineStr">
        <is>
          <t>Card</t>
        </is>
      </c>
      <c r="P264" s="15">
        <f>IF($A264="","",DATE(YEAR($A264),MONTH($A264),1))</f>
        <v/>
      </c>
      <c r="Q264" s="16">
        <f>IF($H264="","",$J264*IFERROR(INDEX('Settings'!$L$10:$L$39,MATCH($H264,'Settings'!$I$10:$I$39,0)),0))</f>
        <v/>
      </c>
      <c r="R264" s="17">
        <f>IF($A264="","",$A264-WEEKDAY($A264,2)+1)</f>
        <v/>
      </c>
    </row>
    <row r="265">
      <c r="A265" s="5" t="n">
        <v>46226</v>
      </c>
      <c r="B265" s="4" t="inlineStr">
        <is>
          <t>Main branch</t>
        </is>
      </c>
      <c r="C265" s="4" t="inlineStr">
        <is>
          <t>Main 4</t>
        </is>
      </c>
      <c r="D265" s="4" t="inlineStr">
        <is>
          <t>Dr Sara Al Harbi</t>
        </is>
      </c>
      <c r="E265" s="4" t="inlineStr">
        <is>
          <t>P-3430</t>
        </is>
      </c>
      <c r="F265" s="4" t="inlineStr">
        <is>
          <t>New</t>
        </is>
      </c>
      <c r="G265" s="4" t="inlineStr">
        <is>
          <t>WhatsApp</t>
        </is>
      </c>
      <c r="H265" s="4" t="inlineStr">
        <is>
          <t>Specialist consultation</t>
        </is>
      </c>
      <c r="I265" s="9">
        <f>IF($H265="","",IFERROR(INDEX('Settings'!$J$10:$J$39,MATCH($H265,'Settings'!$I$10:$I$39,0)),""))</f>
        <v/>
      </c>
      <c r="J265" s="6" t="n">
        <v>1</v>
      </c>
      <c r="K265" s="8" t="n">
        <v>350</v>
      </c>
      <c r="L265" s="8" t="n"/>
      <c r="M265" s="14">
        <f>IF($A265="","",$J265*$K265)</f>
        <v/>
      </c>
      <c r="N265" s="14">
        <f>IF($A265="","",$M265-$L265)</f>
        <v/>
      </c>
      <c r="O265" s="4" t="inlineStr">
        <is>
          <t>Card</t>
        </is>
      </c>
      <c r="P265" s="15">
        <f>IF($A265="","",DATE(YEAR($A265),MONTH($A265),1))</f>
        <v/>
      </c>
      <c r="Q265" s="16">
        <f>IF($H265="","",$J265*IFERROR(INDEX('Settings'!$L$10:$L$39,MATCH($H265,'Settings'!$I$10:$I$39,0)),0))</f>
        <v/>
      </c>
      <c r="R265" s="17">
        <f>IF($A265="","",$A265-WEEKDAY($A265,2)+1)</f>
        <v/>
      </c>
    </row>
    <row r="266">
      <c r="A266" s="5" t="n">
        <v>46226</v>
      </c>
      <c r="B266" s="4" t="inlineStr">
        <is>
          <t>North branch</t>
        </is>
      </c>
      <c r="C266" s="4" t="inlineStr">
        <is>
          <t>North 1</t>
        </is>
      </c>
      <c r="D266" s="4" t="inlineStr">
        <is>
          <t>Dr Khaled Youssef</t>
        </is>
      </c>
      <c r="E266" s="4" t="inlineStr">
        <is>
          <t>P-2550</t>
        </is>
      </c>
      <c r="F266" s="4" t="inlineStr">
        <is>
          <t>Returning</t>
        </is>
      </c>
      <c r="G266" s="4" t="inlineStr">
        <is>
          <t>Walk-in</t>
        </is>
      </c>
      <c r="H266" s="4" t="inlineStr">
        <is>
          <t>Follow-up visit</t>
        </is>
      </c>
      <c r="I266" s="9">
        <f>IF($H266="","",IFERROR(INDEX('Settings'!$J$10:$J$39,MATCH($H266,'Settings'!$I$10:$I$39,0)),""))</f>
        <v/>
      </c>
      <c r="J266" s="6" t="n">
        <v>1</v>
      </c>
      <c r="K266" s="8" t="n">
        <v>150</v>
      </c>
      <c r="L266" s="8" t="n"/>
      <c r="M266" s="14">
        <f>IF($A266="","",$J266*$K266)</f>
        <v/>
      </c>
      <c r="N266" s="14">
        <f>IF($A266="","",$M266-$L266)</f>
        <v/>
      </c>
      <c r="O266" s="4" t="inlineStr">
        <is>
          <t>Insurance</t>
        </is>
      </c>
      <c r="P266" s="15">
        <f>IF($A266="","",DATE(YEAR($A266),MONTH($A266),1))</f>
        <v/>
      </c>
      <c r="Q266" s="16">
        <f>IF($H266="","",$J266*IFERROR(INDEX('Settings'!$L$10:$L$39,MATCH($H266,'Settings'!$I$10:$I$39,0)),0))</f>
        <v/>
      </c>
      <c r="R266" s="17">
        <f>IF($A266="","",$A266-WEEKDAY($A266,2)+1)</f>
        <v/>
      </c>
    </row>
    <row r="267">
      <c r="A267" s="5" t="n">
        <v>46226</v>
      </c>
      <c r="B267" s="4" t="inlineStr">
        <is>
          <t>North branch</t>
        </is>
      </c>
      <c r="C267" s="4" t="inlineStr">
        <is>
          <t>North 1</t>
        </is>
      </c>
      <c r="D267" s="4" t="inlineStr">
        <is>
          <t>Dr Layla Al Qahtani</t>
        </is>
      </c>
      <c r="E267" s="4" t="inlineStr">
        <is>
          <t>P-2474</t>
        </is>
      </c>
      <c r="F267" s="4" t="inlineStr">
        <is>
          <t>Returning</t>
        </is>
      </c>
      <c r="G267" s="4" t="inlineStr">
        <is>
          <t>Walk-in</t>
        </is>
      </c>
      <c r="H267" s="4" t="inlineStr">
        <is>
          <t>Filler injection</t>
        </is>
      </c>
      <c r="I267" s="9">
        <f>IF($H267="","",IFERROR(INDEX('Settings'!$J$10:$J$39,MATCH($H267,'Settings'!$I$10:$I$39,0)),""))</f>
        <v/>
      </c>
      <c r="J267" s="6" t="n">
        <v>1</v>
      </c>
      <c r="K267" s="8" t="n">
        <v>1800</v>
      </c>
      <c r="L267" s="8" t="n"/>
      <c r="M267" s="14">
        <f>IF($A267="","",$J267*$K267)</f>
        <v/>
      </c>
      <c r="N267" s="14">
        <f>IF($A267="","",$M267-$L267)</f>
        <v/>
      </c>
      <c r="O267" s="4" t="inlineStr">
        <is>
          <t>Transfer</t>
        </is>
      </c>
      <c r="P267" s="15">
        <f>IF($A267="","",DATE(YEAR($A267),MONTH($A267),1))</f>
        <v/>
      </c>
      <c r="Q267" s="16">
        <f>IF($H267="","",$J267*IFERROR(INDEX('Settings'!$L$10:$L$39,MATCH($H267,'Settings'!$I$10:$I$39,0)),0))</f>
        <v/>
      </c>
      <c r="R267" s="17">
        <f>IF($A267="","",$A267-WEEKDAY($A267,2)+1)</f>
        <v/>
      </c>
    </row>
    <row r="268">
      <c r="A268" s="5" t="n">
        <v>46226</v>
      </c>
      <c r="B268" s="4" t="inlineStr">
        <is>
          <t>North branch</t>
        </is>
      </c>
      <c r="C268" s="4" t="inlineStr">
        <is>
          <t>North 1</t>
        </is>
      </c>
      <c r="D268" s="4" t="inlineStr">
        <is>
          <t>Dr Mohamed Adel</t>
        </is>
      </c>
      <c r="E268" s="4" t="inlineStr">
        <is>
          <t>P-3135</t>
        </is>
      </c>
      <c r="F268" s="4" t="inlineStr">
        <is>
          <t>Returning</t>
        </is>
      </c>
      <c r="G268" s="4" t="inlineStr">
        <is>
          <t>Walk-in</t>
        </is>
      </c>
      <c r="H268" s="4" t="inlineStr">
        <is>
          <t>Filler injection</t>
        </is>
      </c>
      <c r="I268" s="9">
        <f>IF($H268="","",IFERROR(INDEX('Settings'!$J$10:$J$39,MATCH($H268,'Settings'!$I$10:$I$39,0)),""))</f>
        <v/>
      </c>
      <c r="J268" s="6" t="n">
        <v>1</v>
      </c>
      <c r="K268" s="8" t="n">
        <v>1800</v>
      </c>
      <c r="L268" s="8" t="n"/>
      <c r="M268" s="14">
        <f>IF($A268="","",$J268*$K268)</f>
        <v/>
      </c>
      <c r="N268" s="14">
        <f>IF($A268="","",$M268-$L268)</f>
        <v/>
      </c>
      <c r="O268" s="4" t="inlineStr">
        <is>
          <t>Cash</t>
        </is>
      </c>
      <c r="P268" s="15">
        <f>IF($A268="","",DATE(YEAR($A268),MONTH($A268),1))</f>
        <v/>
      </c>
      <c r="Q268" s="16">
        <f>IF($H268="","",$J268*IFERROR(INDEX('Settings'!$L$10:$L$39,MATCH($H268,'Settings'!$I$10:$I$39,0)),0))</f>
        <v/>
      </c>
      <c r="R268" s="17">
        <f>IF($A268="","",$A268-WEEKDAY($A268,2)+1)</f>
        <v/>
      </c>
    </row>
    <row r="269">
      <c r="A269" s="5" t="n">
        <v>46226</v>
      </c>
      <c r="B269" s="4" t="inlineStr">
        <is>
          <t>North branch</t>
        </is>
      </c>
      <c r="C269" s="4" t="inlineStr">
        <is>
          <t>North 1</t>
        </is>
      </c>
      <c r="D269" s="4" t="inlineStr">
        <is>
          <t>Dr Khaled Youssef</t>
        </is>
      </c>
      <c r="E269" s="4" t="inlineStr">
        <is>
          <t>P-2888</t>
        </is>
      </c>
      <c r="F269" s="4" t="inlineStr">
        <is>
          <t>Returning</t>
        </is>
      </c>
      <c r="G269" s="4" t="inlineStr">
        <is>
          <t>WhatsApp</t>
        </is>
      </c>
      <c r="H269" s="4" t="inlineStr">
        <is>
          <t>Specialist consultation</t>
        </is>
      </c>
      <c r="I269" s="9">
        <f>IF($H269="","",IFERROR(INDEX('Settings'!$J$10:$J$39,MATCH($H269,'Settings'!$I$10:$I$39,0)),""))</f>
        <v/>
      </c>
      <c r="J269" s="6" t="n">
        <v>1</v>
      </c>
      <c r="K269" s="8" t="n">
        <v>350</v>
      </c>
      <c r="L269" s="8" t="n"/>
      <c r="M269" s="14">
        <f>IF($A269="","",$J269*$K269)</f>
        <v/>
      </c>
      <c r="N269" s="14">
        <f>IF($A269="","",$M269-$L269)</f>
        <v/>
      </c>
      <c r="O269" s="4" t="inlineStr">
        <is>
          <t>Card</t>
        </is>
      </c>
      <c r="P269" s="15">
        <f>IF($A269="","",DATE(YEAR($A269),MONTH($A269),1))</f>
        <v/>
      </c>
      <c r="Q269" s="16">
        <f>IF($H269="","",$J269*IFERROR(INDEX('Settings'!$L$10:$L$39,MATCH($H269,'Settings'!$I$10:$I$39,0)),0))</f>
        <v/>
      </c>
      <c r="R269" s="17">
        <f>IF($A269="","",$A269-WEEKDAY($A269,2)+1)</f>
        <v/>
      </c>
    </row>
    <row r="270">
      <c r="A270" s="5" t="n">
        <v>46226</v>
      </c>
      <c r="B270" s="4" t="inlineStr">
        <is>
          <t>North branch</t>
        </is>
      </c>
      <c r="C270" s="4" t="inlineStr">
        <is>
          <t>North 1</t>
        </is>
      </c>
      <c r="D270" s="4" t="inlineStr">
        <is>
          <t>Dr Layla Al Qahtani</t>
        </is>
      </c>
      <c r="E270" s="4" t="inlineStr">
        <is>
          <t>P-2650</t>
        </is>
      </c>
      <c r="F270" s="4" t="inlineStr">
        <is>
          <t>New</t>
        </is>
      </c>
      <c r="G270" s="4" t="inlineStr">
        <is>
          <t>Google</t>
        </is>
      </c>
      <c r="H270" s="4" t="inlineStr">
        <is>
          <t>Vitamin C serum</t>
        </is>
      </c>
      <c r="I270" s="9">
        <f>IF($H270="","",IFERROR(INDEX('Settings'!$J$10:$J$39,MATCH($H270,'Settings'!$I$10:$I$39,0)),""))</f>
        <v/>
      </c>
      <c r="J270" s="6" t="n">
        <v>1</v>
      </c>
      <c r="K270" s="8" t="n">
        <v>220</v>
      </c>
      <c r="L270" s="8" t="n"/>
      <c r="M270" s="14">
        <f>IF($A270="","",$J270*$K270)</f>
        <v/>
      </c>
      <c r="N270" s="14">
        <f>IF($A270="","",$M270-$L270)</f>
        <v/>
      </c>
      <c r="O270" s="4" t="inlineStr">
        <is>
          <t>Card</t>
        </is>
      </c>
      <c r="P270" s="15">
        <f>IF($A270="","",DATE(YEAR($A270),MONTH($A270),1))</f>
        <v/>
      </c>
      <c r="Q270" s="16">
        <f>IF($H270="","",$J270*IFERROR(INDEX('Settings'!$L$10:$L$39,MATCH($H270,'Settings'!$I$10:$I$39,0)),0))</f>
        <v/>
      </c>
      <c r="R270" s="17">
        <f>IF($A270="","",$A270-WEEKDAY($A270,2)+1)</f>
        <v/>
      </c>
    </row>
    <row r="271">
      <c r="A271" s="5" t="n">
        <v>46226</v>
      </c>
      <c r="B271" s="4" t="inlineStr">
        <is>
          <t>North branch</t>
        </is>
      </c>
      <c r="C271" s="4" t="inlineStr">
        <is>
          <t>North 1</t>
        </is>
      </c>
      <c r="D271" s="4" t="inlineStr">
        <is>
          <t>Dr Khaled Youssef</t>
        </is>
      </c>
      <c r="E271" s="4" t="inlineStr">
        <is>
          <t>P-2269</t>
        </is>
      </c>
      <c r="F271" s="4" t="inlineStr">
        <is>
          <t>New</t>
        </is>
      </c>
      <c r="G271" s="4" t="inlineStr">
        <is>
          <t>Instagram</t>
        </is>
      </c>
      <c r="H271" s="4" t="inlineStr">
        <is>
          <t>Sunscreen cream</t>
        </is>
      </c>
      <c r="I271" s="9">
        <f>IF($H271="","",IFERROR(INDEX('Settings'!$J$10:$J$39,MATCH($H271,'Settings'!$I$10:$I$39,0)),""))</f>
        <v/>
      </c>
      <c r="J271" s="6" t="n">
        <v>1</v>
      </c>
      <c r="K271" s="8" t="n">
        <v>120</v>
      </c>
      <c r="L271" s="8" t="n"/>
      <c r="M271" s="14">
        <f>IF($A271="","",$J271*$K271)</f>
        <v/>
      </c>
      <c r="N271" s="14">
        <f>IF($A271="","",$M271-$L271)</f>
        <v/>
      </c>
      <c r="O271" s="4" t="inlineStr">
        <is>
          <t>Cash</t>
        </is>
      </c>
      <c r="P271" s="15">
        <f>IF($A271="","",DATE(YEAR($A271),MONTH($A271),1))</f>
        <v/>
      </c>
      <c r="Q271" s="16">
        <f>IF($H271="","",$J271*IFERROR(INDEX('Settings'!$L$10:$L$39,MATCH($H271,'Settings'!$I$10:$I$39,0)),0))</f>
        <v/>
      </c>
      <c r="R271" s="17">
        <f>IF($A271="","",$A271-WEEKDAY($A271,2)+1)</f>
        <v/>
      </c>
    </row>
    <row r="272">
      <c r="A272" s="5" t="n">
        <v>46226</v>
      </c>
      <c r="B272" s="4" t="inlineStr">
        <is>
          <t>North branch</t>
        </is>
      </c>
      <c r="C272" s="4" t="inlineStr">
        <is>
          <t>North 2</t>
        </is>
      </c>
      <c r="D272" s="4" t="inlineStr">
        <is>
          <t>Dr Khaled Youssef</t>
        </is>
      </c>
      <c r="E272" s="4" t="inlineStr">
        <is>
          <t>P-3310</t>
        </is>
      </c>
      <c r="F272" s="4" t="inlineStr">
        <is>
          <t>Returning</t>
        </is>
      </c>
      <c r="G272" s="4" t="inlineStr">
        <is>
          <t>Referral</t>
        </is>
      </c>
      <c r="H272" s="4" t="inlineStr">
        <is>
          <t>Specialist consultation</t>
        </is>
      </c>
      <c r="I272" s="9">
        <f>IF($H272="","",IFERROR(INDEX('Settings'!$J$10:$J$39,MATCH($H272,'Settings'!$I$10:$I$39,0)),""))</f>
        <v/>
      </c>
      <c r="J272" s="6" t="n">
        <v>1</v>
      </c>
      <c r="K272" s="8" t="n">
        <v>350</v>
      </c>
      <c r="L272" s="8" t="n"/>
      <c r="M272" s="14">
        <f>IF($A272="","",$J272*$K272)</f>
        <v/>
      </c>
      <c r="N272" s="14">
        <f>IF($A272="","",$M272-$L272)</f>
        <v/>
      </c>
      <c r="O272" s="4" t="inlineStr">
        <is>
          <t>Transfer</t>
        </is>
      </c>
      <c r="P272" s="15">
        <f>IF($A272="","",DATE(YEAR($A272),MONTH($A272),1))</f>
        <v/>
      </c>
      <c r="Q272" s="16">
        <f>IF($H272="","",$J272*IFERROR(INDEX('Settings'!$L$10:$L$39,MATCH($H272,'Settings'!$I$10:$I$39,0)),0))</f>
        <v/>
      </c>
      <c r="R272" s="17">
        <f>IF($A272="","",$A272-WEEKDAY($A272,2)+1)</f>
        <v/>
      </c>
    </row>
    <row r="273">
      <c r="A273" s="5" t="n">
        <v>46226</v>
      </c>
      <c r="B273" s="4" t="inlineStr">
        <is>
          <t>North branch</t>
        </is>
      </c>
      <c r="C273" s="4" t="inlineStr">
        <is>
          <t>North 2</t>
        </is>
      </c>
      <c r="D273" s="4" t="inlineStr">
        <is>
          <t>Dr Khaled Youssef</t>
        </is>
      </c>
      <c r="E273" s="4" t="inlineStr">
        <is>
          <t>P-2538</t>
        </is>
      </c>
      <c r="F273" s="4" t="inlineStr">
        <is>
          <t>Returning</t>
        </is>
      </c>
      <c r="G273" s="4" t="inlineStr">
        <is>
          <t>Google</t>
        </is>
      </c>
      <c r="H273" s="4" t="inlineStr">
        <is>
          <t>Facial cleansing</t>
        </is>
      </c>
      <c r="I273" s="9">
        <f>IF($H273="","",IFERROR(INDEX('Settings'!$J$10:$J$39,MATCH($H273,'Settings'!$I$10:$I$39,0)),""))</f>
        <v/>
      </c>
      <c r="J273" s="6" t="n">
        <v>1</v>
      </c>
      <c r="K273" s="8" t="n">
        <v>400</v>
      </c>
      <c r="L273" s="8" t="n"/>
      <c r="M273" s="14">
        <f>IF($A273="","",$J273*$K273)</f>
        <v/>
      </c>
      <c r="N273" s="14">
        <f>IF($A273="","",$M273-$L273)</f>
        <v/>
      </c>
      <c r="O273" s="4" t="inlineStr">
        <is>
          <t>Insurance</t>
        </is>
      </c>
      <c r="P273" s="15">
        <f>IF($A273="","",DATE(YEAR($A273),MONTH($A273),1))</f>
        <v/>
      </c>
      <c r="Q273" s="16">
        <f>IF($H273="","",$J273*IFERROR(INDEX('Settings'!$L$10:$L$39,MATCH($H273,'Settings'!$I$10:$I$39,0)),0))</f>
        <v/>
      </c>
      <c r="R273" s="17">
        <f>IF($A273="","",$A273-WEEKDAY($A273,2)+1)</f>
        <v/>
      </c>
    </row>
    <row r="274">
      <c r="A274" s="5" t="n">
        <v>46226</v>
      </c>
      <c r="B274" s="4" t="inlineStr">
        <is>
          <t>North branch</t>
        </is>
      </c>
      <c r="C274" s="4" t="inlineStr">
        <is>
          <t>North 2</t>
        </is>
      </c>
      <c r="D274" s="4" t="inlineStr">
        <is>
          <t>Dr Khaled Youssef</t>
        </is>
      </c>
      <c r="E274" s="4" t="inlineStr">
        <is>
          <t>P-3338</t>
        </is>
      </c>
      <c r="F274" s="4" t="inlineStr">
        <is>
          <t>Returning</t>
        </is>
      </c>
      <c r="G274" s="4" t="inlineStr">
        <is>
          <t>Walk-in</t>
        </is>
      </c>
      <c r="H274" s="4" t="inlineStr">
        <is>
          <t>Specialist consultation</t>
        </is>
      </c>
      <c r="I274" s="9">
        <f>IF($H274="","",IFERROR(INDEX('Settings'!$J$10:$J$39,MATCH($H274,'Settings'!$I$10:$I$39,0)),""))</f>
        <v/>
      </c>
      <c r="J274" s="6" t="n">
        <v>1</v>
      </c>
      <c r="K274" s="8" t="n">
        <v>350</v>
      </c>
      <c r="L274" s="8" t="n"/>
      <c r="M274" s="14">
        <f>IF($A274="","",$J274*$K274)</f>
        <v/>
      </c>
      <c r="N274" s="14">
        <f>IF($A274="","",$M274-$L274)</f>
        <v/>
      </c>
      <c r="O274" s="4" t="inlineStr">
        <is>
          <t>Cash</t>
        </is>
      </c>
      <c r="P274" s="15">
        <f>IF($A274="","",DATE(YEAR($A274),MONTH($A274),1))</f>
        <v/>
      </c>
      <c r="Q274" s="16">
        <f>IF($H274="","",$J274*IFERROR(INDEX('Settings'!$L$10:$L$39,MATCH($H274,'Settings'!$I$10:$I$39,0)),0))</f>
        <v/>
      </c>
      <c r="R274" s="17">
        <f>IF($A274="","",$A274-WEEKDAY($A274,2)+1)</f>
        <v/>
      </c>
    </row>
    <row r="275">
      <c r="A275" s="5" t="n">
        <v>46226</v>
      </c>
      <c r="B275" s="4" t="inlineStr">
        <is>
          <t>North branch</t>
        </is>
      </c>
      <c r="C275" s="4" t="inlineStr">
        <is>
          <t>North 2</t>
        </is>
      </c>
      <c r="D275" s="4" t="inlineStr">
        <is>
          <t>Dr Layla Al Qahtani</t>
        </is>
      </c>
      <c r="E275" s="4" t="inlineStr">
        <is>
          <t>P-2454</t>
        </is>
      </c>
      <c r="F275" s="4" t="inlineStr">
        <is>
          <t>Returning</t>
        </is>
      </c>
      <c r="G275" s="4" t="inlineStr">
        <is>
          <t>Google</t>
        </is>
      </c>
      <c r="H275" s="4" t="inlineStr">
        <is>
          <t>Physiotherapy session</t>
        </is>
      </c>
      <c r="I275" s="9">
        <f>IF($H275="","",IFERROR(INDEX('Settings'!$J$10:$J$39,MATCH($H275,'Settings'!$I$10:$I$39,0)),""))</f>
        <v/>
      </c>
      <c r="J275" s="6" t="n">
        <v>1</v>
      </c>
      <c r="K275" s="8" t="n">
        <v>300</v>
      </c>
      <c r="L275" s="8" t="n"/>
      <c r="M275" s="14">
        <f>IF($A275="","",$J275*$K275)</f>
        <v/>
      </c>
      <c r="N275" s="14">
        <f>IF($A275="","",$M275-$L275)</f>
        <v/>
      </c>
      <c r="O275" s="4" t="inlineStr">
        <is>
          <t>Insurance</t>
        </is>
      </c>
      <c r="P275" s="15">
        <f>IF($A275="","",DATE(YEAR($A275),MONTH($A275),1))</f>
        <v/>
      </c>
      <c r="Q275" s="16">
        <f>IF($H275="","",$J275*IFERROR(INDEX('Settings'!$L$10:$L$39,MATCH($H275,'Settings'!$I$10:$I$39,0)),0))</f>
        <v/>
      </c>
      <c r="R275" s="17">
        <f>IF($A275="","",$A275-WEEKDAY($A275,2)+1)</f>
        <v/>
      </c>
    </row>
    <row r="276">
      <c r="A276" s="5" t="n">
        <v>46226</v>
      </c>
      <c r="B276" s="4" t="inlineStr">
        <is>
          <t>North branch</t>
        </is>
      </c>
      <c r="C276" s="4" t="inlineStr">
        <is>
          <t>North 2</t>
        </is>
      </c>
      <c r="D276" s="4" t="inlineStr">
        <is>
          <t>Dr Mohamed Adel</t>
        </is>
      </c>
      <c r="E276" s="4" t="inlineStr">
        <is>
          <t>P-2120</t>
        </is>
      </c>
      <c r="F276" s="4" t="inlineStr">
        <is>
          <t>New</t>
        </is>
      </c>
      <c r="G276" s="4" t="inlineStr">
        <is>
          <t>Instagram</t>
        </is>
      </c>
      <c r="H276" s="4" t="inlineStr">
        <is>
          <t>Chemical peel</t>
        </is>
      </c>
      <c r="I276" s="9">
        <f>IF($H276="","",IFERROR(INDEX('Settings'!$J$10:$J$39,MATCH($H276,'Settings'!$I$10:$I$39,0)),""))</f>
        <v/>
      </c>
      <c r="J276" s="6" t="n">
        <v>1</v>
      </c>
      <c r="K276" s="8" t="n">
        <v>800</v>
      </c>
      <c r="L276" s="8" t="n"/>
      <c r="M276" s="14">
        <f>IF($A276="","",$J276*$K276)</f>
        <v/>
      </c>
      <c r="N276" s="14">
        <f>IF($A276="","",$M276-$L276)</f>
        <v/>
      </c>
      <c r="O276" s="4" t="inlineStr">
        <is>
          <t>Card</t>
        </is>
      </c>
      <c r="P276" s="15">
        <f>IF($A276="","",DATE(YEAR($A276),MONTH($A276),1))</f>
        <v/>
      </c>
      <c r="Q276" s="16">
        <f>IF($H276="","",$J276*IFERROR(INDEX('Settings'!$L$10:$L$39,MATCH($H276,'Settings'!$I$10:$I$39,0)),0))</f>
        <v/>
      </c>
      <c r="R276" s="17">
        <f>IF($A276="","",$A276-WEEKDAY($A276,2)+1)</f>
        <v/>
      </c>
    </row>
    <row r="277">
      <c r="A277" s="5" t="n">
        <v>46226</v>
      </c>
      <c r="B277" s="4" t="inlineStr">
        <is>
          <t>North branch</t>
        </is>
      </c>
      <c r="C277" s="4" t="inlineStr">
        <is>
          <t>North 2</t>
        </is>
      </c>
      <c r="D277" s="4" t="inlineStr">
        <is>
          <t>Dr Layla Al Qahtani</t>
        </is>
      </c>
      <c r="E277" s="4" t="inlineStr">
        <is>
          <t>P-3218</t>
        </is>
      </c>
      <c r="F277" s="4" t="inlineStr">
        <is>
          <t>New</t>
        </is>
      </c>
      <c r="G277" s="4" t="inlineStr">
        <is>
          <t>Instagram</t>
        </is>
      </c>
      <c r="H277" s="4" t="inlineStr">
        <is>
          <t>Follow-up visit</t>
        </is>
      </c>
      <c r="I277" s="9">
        <f>IF($H277="","",IFERROR(INDEX('Settings'!$J$10:$J$39,MATCH($H277,'Settings'!$I$10:$I$39,0)),""))</f>
        <v/>
      </c>
      <c r="J277" s="6" t="n">
        <v>1</v>
      </c>
      <c r="K277" s="8" t="n">
        <v>150</v>
      </c>
      <c r="L277" s="8" t="n"/>
      <c r="M277" s="14">
        <f>IF($A277="","",$J277*$K277)</f>
        <v/>
      </c>
      <c r="N277" s="14">
        <f>IF($A277="","",$M277-$L277)</f>
        <v/>
      </c>
      <c r="O277" s="4" t="inlineStr">
        <is>
          <t>Transfer</t>
        </is>
      </c>
      <c r="P277" s="15">
        <f>IF($A277="","",DATE(YEAR($A277),MONTH($A277),1))</f>
        <v/>
      </c>
      <c r="Q277" s="16">
        <f>IF($H277="","",$J277*IFERROR(INDEX('Settings'!$L$10:$L$39,MATCH($H277,'Settings'!$I$10:$I$39,0)),0))</f>
        <v/>
      </c>
      <c r="R277" s="17">
        <f>IF($A277="","",$A277-WEEKDAY($A277,2)+1)</f>
        <v/>
      </c>
    </row>
    <row r="278">
      <c r="A278" s="5" t="n">
        <v>46228</v>
      </c>
      <c r="B278" s="4" t="inlineStr">
        <is>
          <t>Main branch</t>
        </is>
      </c>
      <c r="C278" s="4" t="inlineStr">
        <is>
          <t>Main 2</t>
        </is>
      </c>
      <c r="D278" s="4" t="inlineStr">
        <is>
          <t>Dr Sara Al Harbi</t>
        </is>
      </c>
      <c r="E278" s="4" t="inlineStr">
        <is>
          <t>P-3138</t>
        </is>
      </c>
      <c r="F278" s="4" t="inlineStr">
        <is>
          <t>Returning</t>
        </is>
      </c>
      <c r="G278" s="4" t="inlineStr">
        <is>
          <t>Walk-in</t>
        </is>
      </c>
      <c r="H278" s="4" t="inlineStr">
        <is>
          <t>Laser session, body</t>
        </is>
      </c>
      <c r="I278" s="9">
        <f>IF($H278="","",IFERROR(INDEX('Settings'!$J$10:$J$39,MATCH($H278,'Settings'!$I$10:$I$39,0)),""))</f>
        <v/>
      </c>
      <c r="J278" s="6" t="n">
        <v>1</v>
      </c>
      <c r="K278" s="8" t="n">
        <v>1200</v>
      </c>
      <c r="L278" s="8" t="n"/>
      <c r="M278" s="14">
        <f>IF($A278="","",$J278*$K278)</f>
        <v/>
      </c>
      <c r="N278" s="14">
        <f>IF($A278="","",$M278-$L278)</f>
        <v/>
      </c>
      <c r="O278" s="4" t="inlineStr">
        <is>
          <t>Insurance</t>
        </is>
      </c>
      <c r="P278" s="15">
        <f>IF($A278="","",DATE(YEAR($A278),MONTH($A278),1))</f>
        <v/>
      </c>
      <c r="Q278" s="16">
        <f>IF($H278="","",$J278*IFERROR(INDEX('Settings'!$L$10:$L$39,MATCH($H278,'Settings'!$I$10:$I$39,0)),0))</f>
        <v/>
      </c>
      <c r="R278" s="17">
        <f>IF($A278="","",$A278-WEEKDAY($A278,2)+1)</f>
        <v/>
      </c>
    </row>
    <row r="279">
      <c r="A279" s="5" t="n">
        <v>46228</v>
      </c>
      <c r="B279" s="4" t="inlineStr">
        <is>
          <t>Main branch</t>
        </is>
      </c>
      <c r="C279" s="4" t="inlineStr">
        <is>
          <t>Main 3</t>
        </is>
      </c>
      <c r="D279" s="4" t="inlineStr">
        <is>
          <t>Dr Ahmed Mansour</t>
        </is>
      </c>
      <c r="E279" s="4" t="inlineStr">
        <is>
          <t>P-3457</t>
        </is>
      </c>
      <c r="F279" s="4" t="inlineStr">
        <is>
          <t>Returning</t>
        </is>
      </c>
      <c r="G279" s="4" t="inlineStr">
        <is>
          <t>Referral</t>
        </is>
      </c>
      <c r="H279" s="4" t="inlineStr">
        <is>
          <t>Botulinum toxin</t>
        </is>
      </c>
      <c r="I279" s="9">
        <f>IF($H279="","",IFERROR(INDEX('Settings'!$J$10:$J$39,MATCH($H279,'Settings'!$I$10:$I$39,0)),""))</f>
        <v/>
      </c>
      <c r="J279" s="6" t="n">
        <v>1</v>
      </c>
      <c r="K279" s="8" t="n">
        <v>1500</v>
      </c>
      <c r="L279" s="8" t="n">
        <v>150</v>
      </c>
      <c r="M279" s="14">
        <f>IF($A279="","",$J279*$K279)</f>
        <v/>
      </c>
      <c r="N279" s="14">
        <f>IF($A279="","",$M279-$L279)</f>
        <v/>
      </c>
      <c r="O279" s="4" t="inlineStr">
        <is>
          <t>Transfer</t>
        </is>
      </c>
      <c r="P279" s="15">
        <f>IF($A279="","",DATE(YEAR($A279),MONTH($A279),1))</f>
        <v/>
      </c>
      <c r="Q279" s="16">
        <f>IF($H279="","",$J279*IFERROR(INDEX('Settings'!$L$10:$L$39,MATCH($H279,'Settings'!$I$10:$I$39,0)),0))</f>
        <v/>
      </c>
      <c r="R279" s="17">
        <f>IF($A279="","",$A279-WEEKDAY($A279,2)+1)</f>
        <v/>
      </c>
    </row>
    <row r="280">
      <c r="A280" s="5" t="n">
        <v>46228</v>
      </c>
      <c r="B280" s="4" t="inlineStr">
        <is>
          <t>Main branch</t>
        </is>
      </c>
      <c r="C280" s="4" t="inlineStr">
        <is>
          <t>Main 4</t>
        </is>
      </c>
      <c r="D280" s="4" t="inlineStr">
        <is>
          <t>Dr Sara Al Harbi</t>
        </is>
      </c>
      <c r="E280" s="4" t="inlineStr">
        <is>
          <t>P-3169</t>
        </is>
      </c>
      <c r="F280" s="4" t="inlineStr">
        <is>
          <t>Returning</t>
        </is>
      </c>
      <c r="G280" s="4" t="inlineStr">
        <is>
          <t>Walk-in</t>
        </is>
      </c>
      <c r="H280" s="4" t="inlineStr">
        <is>
          <t>Vitamin C serum</t>
        </is>
      </c>
      <c r="I280" s="9">
        <f>IF($H280="","",IFERROR(INDEX('Settings'!$J$10:$J$39,MATCH($H280,'Settings'!$I$10:$I$39,0)),""))</f>
        <v/>
      </c>
      <c r="J280" s="6" t="n">
        <v>2</v>
      </c>
      <c r="K280" s="8" t="n">
        <v>220</v>
      </c>
      <c r="L280" s="8" t="n"/>
      <c r="M280" s="14">
        <f>IF($A280="","",$J280*$K280)</f>
        <v/>
      </c>
      <c r="N280" s="14">
        <f>IF($A280="","",$M280-$L280)</f>
        <v/>
      </c>
      <c r="O280" s="4" t="inlineStr">
        <is>
          <t>Cash</t>
        </is>
      </c>
      <c r="P280" s="15">
        <f>IF($A280="","",DATE(YEAR($A280),MONTH($A280),1))</f>
        <v/>
      </c>
      <c r="Q280" s="16">
        <f>IF($H280="","",$J280*IFERROR(INDEX('Settings'!$L$10:$L$39,MATCH($H280,'Settings'!$I$10:$I$39,0)),0))</f>
        <v/>
      </c>
      <c r="R280" s="17">
        <f>IF($A280="","",$A280-WEEKDAY($A280,2)+1)</f>
        <v/>
      </c>
    </row>
    <row r="281">
      <c r="A281" s="5" t="n">
        <v>46228</v>
      </c>
      <c r="B281" s="4" t="inlineStr">
        <is>
          <t>Main branch</t>
        </is>
      </c>
      <c r="C281" s="4" t="inlineStr">
        <is>
          <t>Main 4</t>
        </is>
      </c>
      <c r="D281" s="4" t="inlineStr">
        <is>
          <t>Dr Ahmed Mansour</t>
        </is>
      </c>
      <c r="E281" s="4" t="inlineStr">
        <is>
          <t>P-2674</t>
        </is>
      </c>
      <c r="F281" s="4" t="inlineStr">
        <is>
          <t>Returning</t>
        </is>
      </c>
      <c r="G281" s="4" t="inlineStr">
        <is>
          <t>WhatsApp</t>
        </is>
      </c>
      <c r="H281" s="4" t="inlineStr">
        <is>
          <t>Specialist consultation</t>
        </is>
      </c>
      <c r="I281" s="9">
        <f>IF($H281="","",IFERROR(INDEX('Settings'!$J$10:$J$39,MATCH($H281,'Settings'!$I$10:$I$39,0)),""))</f>
        <v/>
      </c>
      <c r="J281" s="6" t="n">
        <v>1</v>
      </c>
      <c r="K281" s="8" t="n">
        <v>350</v>
      </c>
      <c r="L281" s="8" t="n"/>
      <c r="M281" s="14">
        <f>IF($A281="","",$J281*$K281)</f>
        <v/>
      </c>
      <c r="N281" s="14">
        <f>IF($A281="","",$M281-$L281)</f>
        <v/>
      </c>
      <c r="O281" s="4" t="inlineStr">
        <is>
          <t>Insurance</t>
        </is>
      </c>
      <c r="P281" s="15">
        <f>IF($A281="","",DATE(YEAR($A281),MONTH($A281),1))</f>
        <v/>
      </c>
      <c r="Q281" s="16">
        <f>IF($H281="","",$J281*IFERROR(INDEX('Settings'!$L$10:$L$39,MATCH($H281,'Settings'!$I$10:$I$39,0)),0))</f>
        <v/>
      </c>
      <c r="R281" s="17">
        <f>IF($A281="","",$A281-WEEKDAY($A281,2)+1)</f>
        <v/>
      </c>
    </row>
    <row r="282">
      <c r="A282" s="5" t="n">
        <v>46228</v>
      </c>
      <c r="B282" s="4" t="inlineStr">
        <is>
          <t>Main branch</t>
        </is>
      </c>
      <c r="C282" s="4" t="inlineStr">
        <is>
          <t>Main 4</t>
        </is>
      </c>
      <c r="D282" s="4" t="inlineStr">
        <is>
          <t>Dr Sara Al Harbi</t>
        </is>
      </c>
      <c r="E282" s="4" t="inlineStr">
        <is>
          <t>P-3123</t>
        </is>
      </c>
      <c r="F282" s="4" t="inlineStr">
        <is>
          <t>Returning</t>
        </is>
      </c>
      <c r="G282" s="4" t="inlineStr">
        <is>
          <t>Instagram</t>
        </is>
      </c>
      <c r="H282" s="4" t="inlineStr">
        <is>
          <t>Laser session, body</t>
        </is>
      </c>
      <c r="I282" s="9">
        <f>IF($H282="","",IFERROR(INDEX('Settings'!$J$10:$J$39,MATCH($H282,'Settings'!$I$10:$I$39,0)),""))</f>
        <v/>
      </c>
      <c r="J282" s="6" t="n">
        <v>1</v>
      </c>
      <c r="K282" s="8" t="n">
        <v>1200</v>
      </c>
      <c r="L282" s="8" t="n"/>
      <c r="M282" s="14">
        <f>IF($A282="","",$J282*$K282)</f>
        <v/>
      </c>
      <c r="N282" s="14">
        <f>IF($A282="","",$M282-$L282)</f>
        <v/>
      </c>
      <c r="O282" s="4" t="inlineStr">
        <is>
          <t>Insurance</t>
        </is>
      </c>
      <c r="P282" s="15">
        <f>IF($A282="","",DATE(YEAR($A282),MONTH($A282),1))</f>
        <v/>
      </c>
      <c r="Q282" s="16">
        <f>IF($H282="","",$J282*IFERROR(INDEX('Settings'!$L$10:$L$39,MATCH($H282,'Settings'!$I$10:$I$39,0)),0))</f>
        <v/>
      </c>
      <c r="R282" s="17">
        <f>IF($A282="","",$A282-WEEKDAY($A282,2)+1)</f>
        <v/>
      </c>
    </row>
    <row r="283">
      <c r="A283" s="5" t="n">
        <v>46228</v>
      </c>
      <c r="B283" s="4" t="inlineStr">
        <is>
          <t>North branch</t>
        </is>
      </c>
      <c r="C283" s="4" t="inlineStr">
        <is>
          <t>North 1</t>
        </is>
      </c>
      <c r="D283" s="4" t="inlineStr">
        <is>
          <t>Dr Mohamed Adel</t>
        </is>
      </c>
      <c r="E283" s="4" t="inlineStr">
        <is>
          <t>P-2627</t>
        </is>
      </c>
      <c r="F283" s="4" t="inlineStr">
        <is>
          <t>New</t>
        </is>
      </c>
      <c r="G283" s="4" t="inlineStr">
        <is>
          <t>Walk-in</t>
        </is>
      </c>
      <c r="H283" s="4" t="inlineStr">
        <is>
          <t>Skin tag removal</t>
        </is>
      </c>
      <c r="I283" s="9">
        <f>IF($H283="","",IFERROR(INDEX('Settings'!$J$10:$J$39,MATCH($H283,'Settings'!$I$10:$I$39,0)),""))</f>
        <v/>
      </c>
      <c r="J283" s="6" t="n">
        <v>1</v>
      </c>
      <c r="K283" s="8" t="n">
        <v>500</v>
      </c>
      <c r="L283" s="8" t="n"/>
      <c r="M283" s="14">
        <f>IF($A283="","",$J283*$K283)</f>
        <v/>
      </c>
      <c r="N283" s="14">
        <f>IF($A283="","",$M283-$L283)</f>
        <v/>
      </c>
      <c r="O283" s="4" t="inlineStr">
        <is>
          <t>Insurance</t>
        </is>
      </c>
      <c r="P283" s="15">
        <f>IF($A283="","",DATE(YEAR($A283),MONTH($A283),1))</f>
        <v/>
      </c>
      <c r="Q283" s="16">
        <f>IF($H283="","",$J283*IFERROR(INDEX('Settings'!$L$10:$L$39,MATCH($H283,'Settings'!$I$10:$I$39,0)),0))</f>
        <v/>
      </c>
      <c r="R283" s="17">
        <f>IF($A283="","",$A283-WEEKDAY($A283,2)+1)</f>
        <v/>
      </c>
    </row>
    <row r="284">
      <c r="A284" s="5" t="n">
        <v>46228</v>
      </c>
      <c r="B284" s="4" t="inlineStr">
        <is>
          <t>North branch</t>
        </is>
      </c>
      <c r="C284" s="4" t="inlineStr">
        <is>
          <t>North 1</t>
        </is>
      </c>
      <c r="D284" s="4" t="inlineStr">
        <is>
          <t>Dr Khaled Youssef</t>
        </is>
      </c>
      <c r="E284" s="4" t="inlineStr">
        <is>
          <t>P-2683</t>
        </is>
      </c>
      <c r="F284" s="4" t="inlineStr">
        <is>
          <t>Returning</t>
        </is>
      </c>
      <c r="G284" s="4" t="inlineStr">
        <is>
          <t>Referral</t>
        </is>
      </c>
      <c r="H284" s="4" t="inlineStr">
        <is>
          <t>Sunscreen cream</t>
        </is>
      </c>
      <c r="I284" s="9">
        <f>IF($H284="","",IFERROR(INDEX('Settings'!$J$10:$J$39,MATCH($H284,'Settings'!$I$10:$I$39,0)),""))</f>
        <v/>
      </c>
      <c r="J284" s="6" t="n">
        <v>1</v>
      </c>
      <c r="K284" s="8" t="n">
        <v>120</v>
      </c>
      <c r="L284" s="8" t="n">
        <v>10</v>
      </c>
      <c r="M284" s="14">
        <f>IF($A284="","",$J284*$K284)</f>
        <v/>
      </c>
      <c r="N284" s="14">
        <f>IF($A284="","",$M284-$L284)</f>
        <v/>
      </c>
      <c r="O284" s="4" t="inlineStr">
        <is>
          <t>Card</t>
        </is>
      </c>
      <c r="P284" s="15">
        <f>IF($A284="","",DATE(YEAR($A284),MONTH($A284),1))</f>
        <v/>
      </c>
      <c r="Q284" s="16">
        <f>IF($H284="","",$J284*IFERROR(INDEX('Settings'!$L$10:$L$39,MATCH($H284,'Settings'!$I$10:$I$39,0)),0))</f>
        <v/>
      </c>
      <c r="R284" s="17">
        <f>IF($A284="","",$A284-WEEKDAY($A284,2)+1)</f>
        <v/>
      </c>
    </row>
    <row r="285">
      <c r="A285" s="5" t="n">
        <v>46228</v>
      </c>
      <c r="B285" s="4" t="inlineStr">
        <is>
          <t>North branch</t>
        </is>
      </c>
      <c r="C285" s="4" t="inlineStr">
        <is>
          <t>North 2</t>
        </is>
      </c>
      <c r="D285" s="4" t="inlineStr">
        <is>
          <t>Dr Mohamed Adel</t>
        </is>
      </c>
      <c r="E285" s="4" t="inlineStr">
        <is>
          <t>P-3193</t>
        </is>
      </c>
      <c r="F285" s="4" t="inlineStr">
        <is>
          <t>New</t>
        </is>
      </c>
      <c r="G285" s="4" t="inlineStr">
        <is>
          <t>Instagram</t>
        </is>
      </c>
      <c r="H285" s="4" t="inlineStr">
        <is>
          <t>Vitamin C serum</t>
        </is>
      </c>
      <c r="I285" s="9">
        <f>IF($H285="","",IFERROR(INDEX('Settings'!$J$10:$J$39,MATCH($H285,'Settings'!$I$10:$I$39,0)),""))</f>
        <v/>
      </c>
      <c r="J285" s="6" t="n">
        <v>1</v>
      </c>
      <c r="K285" s="8" t="n">
        <v>220</v>
      </c>
      <c r="L285" s="8" t="n"/>
      <c r="M285" s="14">
        <f>IF($A285="","",$J285*$K285)</f>
        <v/>
      </c>
      <c r="N285" s="14">
        <f>IF($A285="","",$M285-$L285)</f>
        <v/>
      </c>
      <c r="O285" s="4" t="inlineStr">
        <is>
          <t>Card</t>
        </is>
      </c>
      <c r="P285" s="15">
        <f>IF($A285="","",DATE(YEAR($A285),MONTH($A285),1))</f>
        <v/>
      </c>
      <c r="Q285" s="16">
        <f>IF($H285="","",$J285*IFERROR(INDEX('Settings'!$L$10:$L$39,MATCH($H285,'Settings'!$I$10:$I$39,0)),0))</f>
        <v/>
      </c>
      <c r="R285" s="17">
        <f>IF($A285="","",$A285-WEEKDAY($A285,2)+1)</f>
        <v/>
      </c>
    </row>
    <row r="286">
      <c r="A286" s="5" t="n">
        <v>46228</v>
      </c>
      <c r="B286" s="4" t="inlineStr">
        <is>
          <t>North branch</t>
        </is>
      </c>
      <c r="C286" s="4" t="inlineStr">
        <is>
          <t>North 2</t>
        </is>
      </c>
      <c r="D286" s="4" t="inlineStr">
        <is>
          <t>Dr Khaled Youssef</t>
        </is>
      </c>
      <c r="E286" s="4" t="inlineStr">
        <is>
          <t>P-3017</t>
        </is>
      </c>
      <c r="F286" s="4" t="inlineStr">
        <is>
          <t>Returning</t>
        </is>
      </c>
      <c r="G286" s="4" t="inlineStr">
        <is>
          <t>Instagram</t>
        </is>
      </c>
      <c r="H286" s="4" t="inlineStr">
        <is>
          <t>Laser session, face</t>
        </is>
      </c>
      <c r="I286" s="9">
        <f>IF($H286="","",IFERROR(INDEX('Settings'!$J$10:$J$39,MATCH($H286,'Settings'!$I$10:$I$39,0)),""))</f>
        <v/>
      </c>
      <c r="J286" s="6" t="n">
        <v>1</v>
      </c>
      <c r="K286" s="8" t="n">
        <v>600</v>
      </c>
      <c r="L286" s="8" t="n"/>
      <c r="M286" s="14">
        <f>IF($A286="","",$J286*$K286)</f>
        <v/>
      </c>
      <c r="N286" s="14">
        <f>IF($A286="","",$M286-$L286)</f>
        <v/>
      </c>
      <c r="O286" s="4" t="inlineStr">
        <is>
          <t>Card</t>
        </is>
      </c>
      <c r="P286" s="15">
        <f>IF($A286="","",DATE(YEAR($A286),MONTH($A286),1))</f>
        <v/>
      </c>
      <c r="Q286" s="16">
        <f>IF($H286="","",$J286*IFERROR(INDEX('Settings'!$L$10:$L$39,MATCH($H286,'Settings'!$I$10:$I$39,0)),0))</f>
        <v/>
      </c>
      <c r="R286" s="17">
        <f>IF($A286="","",$A286-WEEKDAY($A286,2)+1)</f>
        <v/>
      </c>
    </row>
    <row r="287">
      <c r="A287" s="5" t="n">
        <v>46229</v>
      </c>
      <c r="B287" s="4" t="inlineStr">
        <is>
          <t>Main branch</t>
        </is>
      </c>
      <c r="C287" s="4" t="inlineStr">
        <is>
          <t>Main 1</t>
        </is>
      </c>
      <c r="D287" s="4" t="inlineStr">
        <is>
          <t>Dr Sara Al Harbi</t>
        </is>
      </c>
      <c r="E287" s="4" t="inlineStr">
        <is>
          <t>P-3118</t>
        </is>
      </c>
      <c r="F287" s="4" t="inlineStr">
        <is>
          <t>Returning</t>
        </is>
      </c>
      <c r="G287" s="4" t="inlineStr">
        <is>
          <t>Instagram</t>
        </is>
      </c>
      <c r="H287" s="4" t="inlineStr">
        <is>
          <t>Sunscreen cream</t>
        </is>
      </c>
      <c r="I287" s="9">
        <f>IF($H287="","",IFERROR(INDEX('Settings'!$J$10:$J$39,MATCH($H287,'Settings'!$I$10:$I$39,0)),""))</f>
        <v/>
      </c>
      <c r="J287" s="6" t="n">
        <v>1</v>
      </c>
      <c r="K287" s="8" t="n">
        <v>120</v>
      </c>
      <c r="L287" s="8" t="n"/>
      <c r="M287" s="14">
        <f>IF($A287="","",$J287*$K287)</f>
        <v/>
      </c>
      <c r="N287" s="14">
        <f>IF($A287="","",$M287-$L287)</f>
        <v/>
      </c>
      <c r="O287" s="4" t="inlineStr">
        <is>
          <t>Payment link</t>
        </is>
      </c>
      <c r="P287" s="15">
        <f>IF($A287="","",DATE(YEAR($A287),MONTH($A287),1))</f>
        <v/>
      </c>
      <c r="Q287" s="16">
        <f>IF($H287="","",$J287*IFERROR(INDEX('Settings'!$L$10:$L$39,MATCH($H287,'Settings'!$I$10:$I$39,0)),0))</f>
        <v/>
      </c>
      <c r="R287" s="17">
        <f>IF($A287="","",$A287-WEEKDAY($A287,2)+1)</f>
        <v/>
      </c>
    </row>
    <row r="288">
      <c r="A288" s="5" t="n">
        <v>46229</v>
      </c>
      <c r="B288" s="4" t="inlineStr">
        <is>
          <t>Main branch</t>
        </is>
      </c>
      <c r="C288" s="4" t="inlineStr">
        <is>
          <t>Main 1</t>
        </is>
      </c>
      <c r="D288" s="4" t="inlineStr">
        <is>
          <t>Dr Noura Al Subaie</t>
        </is>
      </c>
      <c r="E288" s="4" t="inlineStr">
        <is>
          <t>P-2757</t>
        </is>
      </c>
      <c r="F288" s="4" t="inlineStr">
        <is>
          <t>Returning</t>
        </is>
      </c>
      <c r="G288" s="4" t="inlineStr">
        <is>
          <t>WhatsApp</t>
        </is>
      </c>
      <c r="H288" s="4" t="inlineStr">
        <is>
          <t>Filler injection</t>
        </is>
      </c>
      <c r="I288" s="9">
        <f>IF($H288="","",IFERROR(INDEX('Settings'!$J$10:$J$39,MATCH($H288,'Settings'!$I$10:$I$39,0)),""))</f>
        <v/>
      </c>
      <c r="J288" s="6" t="n">
        <v>1</v>
      </c>
      <c r="K288" s="8" t="n">
        <v>1800</v>
      </c>
      <c r="L288" s="8" t="n"/>
      <c r="M288" s="14">
        <f>IF($A288="","",$J288*$K288)</f>
        <v/>
      </c>
      <c r="N288" s="14">
        <f>IF($A288="","",$M288-$L288)</f>
        <v/>
      </c>
      <c r="O288" s="4" t="inlineStr">
        <is>
          <t>Payment link</t>
        </is>
      </c>
      <c r="P288" s="15">
        <f>IF($A288="","",DATE(YEAR($A288),MONTH($A288),1))</f>
        <v/>
      </c>
      <c r="Q288" s="16">
        <f>IF($H288="","",$J288*IFERROR(INDEX('Settings'!$L$10:$L$39,MATCH($H288,'Settings'!$I$10:$I$39,0)),0))</f>
        <v/>
      </c>
      <c r="R288" s="17">
        <f>IF($A288="","",$A288-WEEKDAY($A288,2)+1)</f>
        <v/>
      </c>
    </row>
    <row r="289">
      <c r="A289" s="5" t="n">
        <v>46229</v>
      </c>
      <c r="B289" s="4" t="inlineStr">
        <is>
          <t>Main branch</t>
        </is>
      </c>
      <c r="C289" s="4" t="inlineStr">
        <is>
          <t>Main 2</t>
        </is>
      </c>
      <c r="D289" s="4" t="inlineStr">
        <is>
          <t>Dr Sara Al Harbi</t>
        </is>
      </c>
      <c r="E289" s="4" t="inlineStr">
        <is>
          <t>P-2616</t>
        </is>
      </c>
      <c r="F289" s="4" t="inlineStr">
        <is>
          <t>Returning</t>
        </is>
      </c>
      <c r="G289" s="4" t="inlineStr">
        <is>
          <t>WhatsApp</t>
        </is>
      </c>
      <c r="H289" s="4" t="inlineStr">
        <is>
          <t>Physiotherapy session</t>
        </is>
      </c>
      <c r="I289" s="9">
        <f>IF($H289="","",IFERROR(INDEX('Settings'!$J$10:$J$39,MATCH($H289,'Settings'!$I$10:$I$39,0)),""))</f>
        <v/>
      </c>
      <c r="J289" s="6" t="n">
        <v>1</v>
      </c>
      <c r="K289" s="8" t="n">
        <v>300</v>
      </c>
      <c r="L289" s="8" t="n"/>
      <c r="M289" s="14">
        <f>IF($A289="","",$J289*$K289)</f>
        <v/>
      </c>
      <c r="N289" s="14">
        <f>IF($A289="","",$M289-$L289)</f>
        <v/>
      </c>
      <c r="O289" s="4" t="inlineStr">
        <is>
          <t>Cash</t>
        </is>
      </c>
      <c r="P289" s="15">
        <f>IF($A289="","",DATE(YEAR($A289),MONTH($A289),1))</f>
        <v/>
      </c>
      <c r="Q289" s="16">
        <f>IF($H289="","",$J289*IFERROR(INDEX('Settings'!$L$10:$L$39,MATCH($H289,'Settings'!$I$10:$I$39,0)),0))</f>
        <v/>
      </c>
      <c r="R289" s="17">
        <f>IF($A289="","",$A289-WEEKDAY($A289,2)+1)</f>
        <v/>
      </c>
    </row>
    <row r="290">
      <c r="A290" s="5" t="n">
        <v>46229</v>
      </c>
      <c r="B290" s="4" t="inlineStr">
        <is>
          <t>Main branch</t>
        </is>
      </c>
      <c r="C290" s="4" t="inlineStr">
        <is>
          <t>Main 3</t>
        </is>
      </c>
      <c r="D290" s="4" t="inlineStr">
        <is>
          <t>Dr Noura Al Subaie</t>
        </is>
      </c>
      <c r="E290" s="4" t="inlineStr">
        <is>
          <t>P-3328</t>
        </is>
      </c>
      <c r="F290" s="4" t="inlineStr">
        <is>
          <t>New</t>
        </is>
      </c>
      <c r="G290" s="4" t="inlineStr">
        <is>
          <t>Instagram</t>
        </is>
      </c>
      <c r="H290" s="4" t="inlineStr">
        <is>
          <t>Specialist consultation</t>
        </is>
      </c>
      <c r="I290" s="9">
        <f>IF($H290="","",IFERROR(INDEX('Settings'!$J$10:$J$39,MATCH($H290,'Settings'!$I$10:$I$39,0)),""))</f>
        <v/>
      </c>
      <c r="J290" s="6" t="n">
        <v>1</v>
      </c>
      <c r="K290" s="8" t="n">
        <v>350</v>
      </c>
      <c r="L290" s="8" t="n"/>
      <c r="M290" s="14">
        <f>IF($A290="","",$J290*$K290)</f>
        <v/>
      </c>
      <c r="N290" s="14">
        <f>IF($A290="","",$M290-$L290)</f>
        <v/>
      </c>
      <c r="O290" s="4" t="inlineStr">
        <is>
          <t>Insurance</t>
        </is>
      </c>
      <c r="P290" s="15">
        <f>IF($A290="","",DATE(YEAR($A290),MONTH($A290),1))</f>
        <v/>
      </c>
      <c r="Q290" s="16">
        <f>IF($H290="","",$J290*IFERROR(INDEX('Settings'!$L$10:$L$39,MATCH($H290,'Settings'!$I$10:$I$39,0)),0))</f>
        <v/>
      </c>
      <c r="R290" s="17">
        <f>IF($A290="","",$A290-WEEKDAY($A290,2)+1)</f>
        <v/>
      </c>
    </row>
    <row r="291">
      <c r="A291" s="5" t="n">
        <v>46229</v>
      </c>
      <c r="B291" s="4" t="inlineStr">
        <is>
          <t>Main branch</t>
        </is>
      </c>
      <c r="C291" s="4" t="inlineStr">
        <is>
          <t>Main 3</t>
        </is>
      </c>
      <c r="D291" s="4" t="inlineStr">
        <is>
          <t>Dr Ahmed Mansour</t>
        </is>
      </c>
      <c r="E291" s="4" t="inlineStr">
        <is>
          <t>P-2175</t>
        </is>
      </c>
      <c r="F291" s="4" t="inlineStr">
        <is>
          <t>Returning</t>
        </is>
      </c>
      <c r="G291" s="4" t="inlineStr">
        <is>
          <t>Referral</t>
        </is>
      </c>
      <c r="H291" s="4" t="inlineStr">
        <is>
          <t>Facial cleansing</t>
        </is>
      </c>
      <c r="I291" s="9">
        <f>IF($H291="","",IFERROR(INDEX('Settings'!$J$10:$J$39,MATCH($H291,'Settings'!$I$10:$I$39,0)),""))</f>
        <v/>
      </c>
      <c r="J291" s="6" t="n">
        <v>1</v>
      </c>
      <c r="K291" s="8" t="n">
        <v>400</v>
      </c>
      <c r="L291" s="8" t="n">
        <v>20</v>
      </c>
      <c r="M291" s="14">
        <f>IF($A291="","",$J291*$K291)</f>
        <v/>
      </c>
      <c r="N291" s="14">
        <f>IF($A291="","",$M291-$L291)</f>
        <v/>
      </c>
      <c r="O291" s="4" t="inlineStr">
        <is>
          <t>Card</t>
        </is>
      </c>
      <c r="P291" s="15">
        <f>IF($A291="","",DATE(YEAR($A291),MONTH($A291),1))</f>
        <v/>
      </c>
      <c r="Q291" s="16">
        <f>IF($H291="","",$J291*IFERROR(INDEX('Settings'!$L$10:$L$39,MATCH($H291,'Settings'!$I$10:$I$39,0)),0))</f>
        <v/>
      </c>
      <c r="R291" s="17">
        <f>IF($A291="","",$A291-WEEKDAY($A291,2)+1)</f>
        <v/>
      </c>
    </row>
    <row r="292">
      <c r="A292" s="5" t="n">
        <v>46229</v>
      </c>
      <c r="B292" s="4" t="inlineStr">
        <is>
          <t>Main branch</t>
        </is>
      </c>
      <c r="C292" s="4" t="inlineStr">
        <is>
          <t>Main 3</t>
        </is>
      </c>
      <c r="D292" s="4" t="inlineStr">
        <is>
          <t>Dr Ahmed Mansour</t>
        </is>
      </c>
      <c r="E292" s="4" t="inlineStr">
        <is>
          <t>P-2270</t>
        </is>
      </c>
      <c r="F292" s="4" t="inlineStr">
        <is>
          <t>Returning</t>
        </is>
      </c>
      <c r="G292" s="4" t="inlineStr">
        <is>
          <t>Google</t>
        </is>
      </c>
      <c r="H292" s="4" t="inlineStr">
        <is>
          <t>Physiotherapy session</t>
        </is>
      </c>
      <c r="I292" s="9">
        <f>IF($H292="","",IFERROR(INDEX('Settings'!$J$10:$J$39,MATCH($H292,'Settings'!$I$10:$I$39,0)),""))</f>
        <v/>
      </c>
      <c r="J292" s="6" t="n">
        <v>1</v>
      </c>
      <c r="K292" s="8" t="n">
        <v>300</v>
      </c>
      <c r="L292" s="8" t="n"/>
      <c r="M292" s="14">
        <f>IF($A292="","",$J292*$K292)</f>
        <v/>
      </c>
      <c r="N292" s="14">
        <f>IF($A292="","",$M292-$L292)</f>
        <v/>
      </c>
      <c r="O292" s="4" t="inlineStr">
        <is>
          <t>Insurance</t>
        </is>
      </c>
      <c r="P292" s="15">
        <f>IF($A292="","",DATE(YEAR($A292),MONTH($A292),1))</f>
        <v/>
      </c>
      <c r="Q292" s="16">
        <f>IF($H292="","",$J292*IFERROR(INDEX('Settings'!$L$10:$L$39,MATCH($H292,'Settings'!$I$10:$I$39,0)),0))</f>
        <v/>
      </c>
      <c r="R292" s="17">
        <f>IF($A292="","",$A292-WEEKDAY($A292,2)+1)</f>
        <v/>
      </c>
    </row>
    <row r="293">
      <c r="A293" s="5" t="n">
        <v>46229</v>
      </c>
      <c r="B293" s="4" t="inlineStr">
        <is>
          <t>Main branch</t>
        </is>
      </c>
      <c r="C293" s="4" t="inlineStr">
        <is>
          <t>Main 4</t>
        </is>
      </c>
      <c r="D293" s="4" t="inlineStr">
        <is>
          <t>Dr Sara Al Harbi</t>
        </is>
      </c>
      <c r="E293" s="4" t="inlineStr">
        <is>
          <t>P-3132</t>
        </is>
      </c>
      <c r="F293" s="4" t="inlineStr">
        <is>
          <t>New</t>
        </is>
      </c>
      <c r="G293" s="4" t="inlineStr">
        <is>
          <t>Instagram</t>
        </is>
      </c>
      <c r="H293" s="4" t="inlineStr">
        <is>
          <t>Laser session, face</t>
        </is>
      </c>
      <c r="I293" s="9">
        <f>IF($H293="","",IFERROR(INDEX('Settings'!$J$10:$J$39,MATCH($H293,'Settings'!$I$10:$I$39,0)),""))</f>
        <v/>
      </c>
      <c r="J293" s="6" t="n">
        <v>1</v>
      </c>
      <c r="K293" s="8" t="n">
        <v>600</v>
      </c>
      <c r="L293" s="8" t="n"/>
      <c r="M293" s="14">
        <f>IF($A293="","",$J293*$K293)</f>
        <v/>
      </c>
      <c r="N293" s="14">
        <f>IF($A293="","",$M293-$L293)</f>
        <v/>
      </c>
      <c r="O293" s="4" t="inlineStr">
        <is>
          <t>Transfer</t>
        </is>
      </c>
      <c r="P293" s="15">
        <f>IF($A293="","",DATE(YEAR($A293),MONTH($A293),1))</f>
        <v/>
      </c>
      <c r="Q293" s="16">
        <f>IF($H293="","",$J293*IFERROR(INDEX('Settings'!$L$10:$L$39,MATCH($H293,'Settings'!$I$10:$I$39,0)),0))</f>
        <v/>
      </c>
      <c r="R293" s="17">
        <f>IF($A293="","",$A293-WEEKDAY($A293,2)+1)</f>
        <v/>
      </c>
    </row>
    <row r="294">
      <c r="A294" s="5" t="n">
        <v>46229</v>
      </c>
      <c r="B294" s="4" t="inlineStr">
        <is>
          <t>Main branch</t>
        </is>
      </c>
      <c r="C294" s="4" t="inlineStr">
        <is>
          <t>Main 4</t>
        </is>
      </c>
      <c r="D294" s="4" t="inlineStr">
        <is>
          <t>Dr Sara Al Harbi</t>
        </is>
      </c>
      <c r="E294" s="4" t="inlineStr">
        <is>
          <t>P-2989</t>
        </is>
      </c>
      <c r="F294" s="4" t="inlineStr">
        <is>
          <t>Returning</t>
        </is>
      </c>
      <c r="G294" s="4" t="inlineStr">
        <is>
          <t>Google</t>
        </is>
      </c>
      <c r="H294" s="4" t="inlineStr">
        <is>
          <t>Specialist consultation</t>
        </is>
      </c>
      <c r="I294" s="9">
        <f>IF($H294="","",IFERROR(INDEX('Settings'!$J$10:$J$39,MATCH($H294,'Settings'!$I$10:$I$39,0)),""))</f>
        <v/>
      </c>
      <c r="J294" s="6" t="n">
        <v>1</v>
      </c>
      <c r="K294" s="8" t="n">
        <v>350</v>
      </c>
      <c r="L294" s="8" t="n"/>
      <c r="M294" s="14">
        <f>IF($A294="","",$J294*$K294)</f>
        <v/>
      </c>
      <c r="N294" s="14">
        <f>IF($A294="","",$M294-$L294)</f>
        <v/>
      </c>
      <c r="O294" s="4" t="inlineStr">
        <is>
          <t>Card</t>
        </is>
      </c>
      <c r="P294" s="15">
        <f>IF($A294="","",DATE(YEAR($A294),MONTH($A294),1))</f>
        <v/>
      </c>
      <c r="Q294" s="16">
        <f>IF($H294="","",$J294*IFERROR(INDEX('Settings'!$L$10:$L$39,MATCH($H294,'Settings'!$I$10:$I$39,0)),0))</f>
        <v/>
      </c>
      <c r="R294" s="17">
        <f>IF($A294="","",$A294-WEEKDAY($A294,2)+1)</f>
        <v/>
      </c>
    </row>
    <row r="295">
      <c r="A295" s="5" t="n">
        <v>46229</v>
      </c>
      <c r="B295" s="4" t="inlineStr">
        <is>
          <t>Main branch</t>
        </is>
      </c>
      <c r="C295" s="4" t="inlineStr">
        <is>
          <t>Main 4</t>
        </is>
      </c>
      <c r="D295" s="4" t="inlineStr">
        <is>
          <t>Dr Sara Al Harbi</t>
        </is>
      </c>
      <c r="E295" s="4" t="inlineStr">
        <is>
          <t>P-2381</t>
        </is>
      </c>
      <c r="F295" s="4" t="inlineStr">
        <is>
          <t>Returning</t>
        </is>
      </c>
      <c r="G295" s="4" t="inlineStr">
        <is>
          <t>Referral</t>
        </is>
      </c>
      <c r="H295" s="4" t="inlineStr">
        <is>
          <t>Specialist consultation</t>
        </is>
      </c>
      <c r="I295" s="9">
        <f>IF($H295="","",IFERROR(INDEX('Settings'!$J$10:$J$39,MATCH($H295,'Settings'!$I$10:$I$39,0)),""))</f>
        <v/>
      </c>
      <c r="J295" s="6" t="n">
        <v>1</v>
      </c>
      <c r="K295" s="8" t="n">
        <v>350</v>
      </c>
      <c r="L295" s="8" t="n"/>
      <c r="M295" s="14">
        <f>IF($A295="","",$J295*$K295)</f>
        <v/>
      </c>
      <c r="N295" s="14">
        <f>IF($A295="","",$M295-$L295)</f>
        <v/>
      </c>
      <c r="O295" s="4" t="inlineStr">
        <is>
          <t>Cash</t>
        </is>
      </c>
      <c r="P295" s="15">
        <f>IF($A295="","",DATE(YEAR($A295),MONTH($A295),1))</f>
        <v/>
      </c>
      <c r="Q295" s="16">
        <f>IF($H295="","",$J295*IFERROR(INDEX('Settings'!$L$10:$L$39,MATCH($H295,'Settings'!$I$10:$I$39,0)),0))</f>
        <v/>
      </c>
      <c r="R295" s="17">
        <f>IF($A295="","",$A295-WEEKDAY($A295,2)+1)</f>
        <v/>
      </c>
    </row>
    <row r="296">
      <c r="A296" s="5" t="n">
        <v>46229</v>
      </c>
      <c r="B296" s="4" t="inlineStr">
        <is>
          <t>North branch</t>
        </is>
      </c>
      <c r="C296" s="4" t="inlineStr">
        <is>
          <t>North 1</t>
        </is>
      </c>
      <c r="D296" s="4" t="inlineStr">
        <is>
          <t>Dr Mohamed Adel</t>
        </is>
      </c>
      <c r="E296" s="4" t="inlineStr">
        <is>
          <t>P-2750</t>
        </is>
      </c>
      <c r="F296" s="4" t="inlineStr">
        <is>
          <t>New</t>
        </is>
      </c>
      <c r="G296" s="4" t="inlineStr">
        <is>
          <t>Walk-in</t>
        </is>
      </c>
      <c r="H296" s="4" t="inlineStr">
        <is>
          <t>Physiotherapy session</t>
        </is>
      </c>
      <c r="I296" s="9">
        <f>IF($H296="","",IFERROR(INDEX('Settings'!$J$10:$J$39,MATCH($H296,'Settings'!$I$10:$I$39,0)),""))</f>
        <v/>
      </c>
      <c r="J296" s="6" t="n">
        <v>1</v>
      </c>
      <c r="K296" s="8" t="n">
        <v>300</v>
      </c>
      <c r="L296" s="8" t="n">
        <v>20</v>
      </c>
      <c r="M296" s="14">
        <f>IF($A296="","",$J296*$K296)</f>
        <v/>
      </c>
      <c r="N296" s="14">
        <f>IF($A296="","",$M296-$L296)</f>
        <v/>
      </c>
      <c r="O296" s="4" t="inlineStr">
        <is>
          <t>Card</t>
        </is>
      </c>
      <c r="P296" s="15">
        <f>IF($A296="","",DATE(YEAR($A296),MONTH($A296),1))</f>
        <v/>
      </c>
      <c r="Q296" s="16">
        <f>IF($H296="","",$J296*IFERROR(INDEX('Settings'!$L$10:$L$39,MATCH($H296,'Settings'!$I$10:$I$39,0)),0))</f>
        <v/>
      </c>
      <c r="R296" s="17">
        <f>IF($A296="","",$A296-WEEKDAY($A296,2)+1)</f>
        <v/>
      </c>
    </row>
    <row r="297">
      <c r="A297" s="5" t="n">
        <v>46229</v>
      </c>
      <c r="B297" s="4" t="inlineStr">
        <is>
          <t>North branch</t>
        </is>
      </c>
      <c r="C297" s="4" t="inlineStr">
        <is>
          <t>North 1</t>
        </is>
      </c>
      <c r="D297" s="4" t="inlineStr">
        <is>
          <t>Dr Layla Al Qahtani</t>
        </is>
      </c>
      <c r="E297" s="4" t="inlineStr">
        <is>
          <t>P-3043</t>
        </is>
      </c>
      <c r="F297" s="4" t="inlineStr">
        <is>
          <t>Returning</t>
        </is>
      </c>
      <c r="G297" s="4" t="inlineStr">
        <is>
          <t>Instagram</t>
        </is>
      </c>
      <c r="H297" s="4" t="inlineStr">
        <is>
          <t>Sunscreen cream</t>
        </is>
      </c>
      <c r="I297" s="9">
        <f>IF($H297="","",IFERROR(INDEX('Settings'!$J$10:$J$39,MATCH($H297,'Settings'!$I$10:$I$39,0)),""))</f>
        <v/>
      </c>
      <c r="J297" s="6" t="n">
        <v>1</v>
      </c>
      <c r="K297" s="8" t="n">
        <v>120</v>
      </c>
      <c r="L297" s="8" t="n"/>
      <c r="M297" s="14">
        <f>IF($A297="","",$J297*$K297)</f>
        <v/>
      </c>
      <c r="N297" s="14">
        <f>IF($A297="","",$M297-$L297)</f>
        <v/>
      </c>
      <c r="O297" s="4" t="inlineStr">
        <is>
          <t>Cash</t>
        </is>
      </c>
      <c r="P297" s="15">
        <f>IF($A297="","",DATE(YEAR($A297),MONTH($A297),1))</f>
        <v/>
      </c>
      <c r="Q297" s="16">
        <f>IF($H297="","",$J297*IFERROR(INDEX('Settings'!$L$10:$L$39,MATCH($H297,'Settings'!$I$10:$I$39,0)),0))</f>
        <v/>
      </c>
      <c r="R297" s="17">
        <f>IF($A297="","",$A297-WEEKDAY($A297,2)+1)</f>
        <v/>
      </c>
    </row>
    <row r="298">
      <c r="A298" s="5" t="n">
        <v>46229</v>
      </c>
      <c r="B298" s="4" t="inlineStr">
        <is>
          <t>North branch</t>
        </is>
      </c>
      <c r="C298" s="4" t="inlineStr">
        <is>
          <t>North 1</t>
        </is>
      </c>
      <c r="D298" s="4" t="inlineStr">
        <is>
          <t>Dr Khaled Youssef</t>
        </is>
      </c>
      <c r="E298" s="4" t="inlineStr">
        <is>
          <t>P-2300</t>
        </is>
      </c>
      <c r="F298" s="4" t="inlineStr">
        <is>
          <t>Returning</t>
        </is>
      </c>
      <c r="G298" s="4" t="inlineStr">
        <is>
          <t>Walk-in</t>
        </is>
      </c>
      <c r="H298" s="4" t="inlineStr">
        <is>
          <t>Laser session, body</t>
        </is>
      </c>
      <c r="I298" s="9">
        <f>IF($H298="","",IFERROR(INDEX('Settings'!$J$10:$J$39,MATCH($H298,'Settings'!$I$10:$I$39,0)),""))</f>
        <v/>
      </c>
      <c r="J298" s="6" t="n">
        <v>1</v>
      </c>
      <c r="K298" s="8" t="n">
        <v>1200</v>
      </c>
      <c r="L298" s="8" t="n"/>
      <c r="M298" s="14">
        <f>IF($A298="","",$J298*$K298)</f>
        <v/>
      </c>
      <c r="N298" s="14">
        <f>IF($A298="","",$M298-$L298)</f>
        <v/>
      </c>
      <c r="O298" s="4" t="inlineStr">
        <is>
          <t>Card</t>
        </is>
      </c>
      <c r="P298" s="15">
        <f>IF($A298="","",DATE(YEAR($A298),MONTH($A298),1))</f>
        <v/>
      </c>
      <c r="Q298" s="16">
        <f>IF($H298="","",$J298*IFERROR(INDEX('Settings'!$L$10:$L$39,MATCH($H298,'Settings'!$I$10:$I$39,0)),0))</f>
        <v/>
      </c>
      <c r="R298" s="17">
        <f>IF($A298="","",$A298-WEEKDAY($A298,2)+1)</f>
        <v/>
      </c>
    </row>
    <row r="299">
      <c r="A299" s="5" t="n">
        <v>46229</v>
      </c>
      <c r="B299" s="4" t="inlineStr">
        <is>
          <t>North branch</t>
        </is>
      </c>
      <c r="C299" s="4" t="inlineStr">
        <is>
          <t>North 1</t>
        </is>
      </c>
      <c r="D299" s="4" t="inlineStr">
        <is>
          <t>Dr Khaled Youssef</t>
        </is>
      </c>
      <c r="E299" s="4" t="inlineStr">
        <is>
          <t>P-2892</t>
        </is>
      </c>
      <c r="F299" s="4" t="inlineStr">
        <is>
          <t>Returning</t>
        </is>
      </c>
      <c r="G299" s="4" t="inlineStr">
        <is>
          <t>Walk-in</t>
        </is>
      </c>
      <c r="H299" s="4" t="inlineStr">
        <is>
          <t>Specialist consultation</t>
        </is>
      </c>
      <c r="I299" s="9">
        <f>IF($H299="","",IFERROR(INDEX('Settings'!$J$10:$J$39,MATCH($H299,'Settings'!$I$10:$I$39,0)),""))</f>
        <v/>
      </c>
      <c r="J299" s="6" t="n">
        <v>1</v>
      </c>
      <c r="K299" s="8" t="n">
        <v>350</v>
      </c>
      <c r="L299" s="8" t="n"/>
      <c r="M299" s="14">
        <f>IF($A299="","",$J299*$K299)</f>
        <v/>
      </c>
      <c r="N299" s="14">
        <f>IF($A299="","",$M299-$L299)</f>
        <v/>
      </c>
      <c r="O299" s="4" t="inlineStr">
        <is>
          <t>Insurance</t>
        </is>
      </c>
      <c r="P299" s="15">
        <f>IF($A299="","",DATE(YEAR($A299),MONTH($A299),1))</f>
        <v/>
      </c>
      <c r="Q299" s="16">
        <f>IF($H299="","",$J299*IFERROR(INDEX('Settings'!$L$10:$L$39,MATCH($H299,'Settings'!$I$10:$I$39,0)),0))</f>
        <v/>
      </c>
      <c r="R299" s="17">
        <f>IF($A299="","",$A299-WEEKDAY($A299,2)+1)</f>
        <v/>
      </c>
    </row>
    <row r="300">
      <c r="A300" s="5" t="n">
        <v>46229</v>
      </c>
      <c r="B300" s="4" t="inlineStr">
        <is>
          <t>North branch</t>
        </is>
      </c>
      <c r="C300" s="4" t="inlineStr">
        <is>
          <t>North 1</t>
        </is>
      </c>
      <c r="D300" s="4" t="inlineStr">
        <is>
          <t>Dr Mohamed Adel</t>
        </is>
      </c>
      <c r="E300" s="4" t="inlineStr">
        <is>
          <t>P-2584</t>
        </is>
      </c>
      <c r="F300" s="4" t="inlineStr">
        <is>
          <t>New</t>
        </is>
      </c>
      <c r="G300" s="4" t="inlineStr">
        <is>
          <t>Referral</t>
        </is>
      </c>
      <c r="H300" s="4" t="inlineStr">
        <is>
          <t>Follow-up visit</t>
        </is>
      </c>
      <c r="I300" s="9">
        <f>IF($H300="","",IFERROR(INDEX('Settings'!$J$10:$J$39,MATCH($H300,'Settings'!$I$10:$I$39,0)),""))</f>
        <v/>
      </c>
      <c r="J300" s="6" t="n">
        <v>1</v>
      </c>
      <c r="K300" s="8" t="n">
        <v>150</v>
      </c>
      <c r="L300" s="8" t="n"/>
      <c r="M300" s="14">
        <f>IF($A300="","",$J300*$K300)</f>
        <v/>
      </c>
      <c r="N300" s="14">
        <f>IF($A300="","",$M300-$L300)</f>
        <v/>
      </c>
      <c r="O300" s="4" t="inlineStr">
        <is>
          <t>Card</t>
        </is>
      </c>
      <c r="P300" s="15">
        <f>IF($A300="","",DATE(YEAR($A300),MONTH($A300),1))</f>
        <v/>
      </c>
      <c r="Q300" s="16">
        <f>IF($H300="","",$J300*IFERROR(INDEX('Settings'!$L$10:$L$39,MATCH($H300,'Settings'!$I$10:$I$39,0)),0))</f>
        <v/>
      </c>
      <c r="R300" s="17">
        <f>IF($A300="","",$A300-WEEKDAY($A300,2)+1)</f>
        <v/>
      </c>
    </row>
    <row r="301">
      <c r="A301" s="5" t="n">
        <v>46229</v>
      </c>
      <c r="B301" s="4" t="inlineStr">
        <is>
          <t>North branch</t>
        </is>
      </c>
      <c r="C301" s="4" t="inlineStr">
        <is>
          <t>North 1</t>
        </is>
      </c>
      <c r="D301" s="4" t="inlineStr">
        <is>
          <t>Dr Mohamed Adel</t>
        </is>
      </c>
      <c r="E301" s="4" t="inlineStr">
        <is>
          <t>P-2570</t>
        </is>
      </c>
      <c r="F301" s="4" t="inlineStr">
        <is>
          <t>New</t>
        </is>
      </c>
      <c r="G301" s="4" t="inlineStr">
        <is>
          <t>WhatsApp</t>
        </is>
      </c>
      <c r="H301" s="4" t="inlineStr">
        <is>
          <t>Physiotherapy session</t>
        </is>
      </c>
      <c r="I301" s="9">
        <f>IF($H301="","",IFERROR(INDEX('Settings'!$J$10:$J$39,MATCH($H301,'Settings'!$I$10:$I$39,0)),""))</f>
        <v/>
      </c>
      <c r="J301" s="6" t="n">
        <v>1</v>
      </c>
      <c r="K301" s="8" t="n">
        <v>300</v>
      </c>
      <c r="L301" s="8" t="n"/>
      <c r="M301" s="14">
        <f>IF($A301="","",$J301*$K301)</f>
        <v/>
      </c>
      <c r="N301" s="14">
        <f>IF($A301="","",$M301-$L301)</f>
        <v/>
      </c>
      <c r="O301" s="4" t="inlineStr">
        <is>
          <t>Cash</t>
        </is>
      </c>
      <c r="P301" s="15">
        <f>IF($A301="","",DATE(YEAR($A301),MONTH($A301),1))</f>
        <v/>
      </c>
      <c r="Q301" s="16">
        <f>IF($H301="","",$J301*IFERROR(INDEX('Settings'!$L$10:$L$39,MATCH($H301,'Settings'!$I$10:$I$39,0)),0))</f>
        <v/>
      </c>
      <c r="R301" s="17">
        <f>IF($A301="","",$A301-WEEKDAY($A301,2)+1)</f>
        <v/>
      </c>
    </row>
    <row r="302">
      <c r="A302" s="5" t="n">
        <v>46229</v>
      </c>
      <c r="B302" s="4" t="inlineStr">
        <is>
          <t>North branch</t>
        </is>
      </c>
      <c r="C302" s="4" t="inlineStr">
        <is>
          <t>North 2</t>
        </is>
      </c>
      <c r="D302" s="4" t="inlineStr">
        <is>
          <t>Dr Layla Al Qahtani</t>
        </is>
      </c>
      <c r="E302" s="4" t="inlineStr">
        <is>
          <t>P-3080</t>
        </is>
      </c>
      <c r="F302" s="4" t="inlineStr">
        <is>
          <t>New</t>
        </is>
      </c>
      <c r="G302" s="4" t="inlineStr">
        <is>
          <t>Google</t>
        </is>
      </c>
      <c r="H302" s="4" t="inlineStr">
        <is>
          <t>Vitamin C serum</t>
        </is>
      </c>
      <c r="I302" s="9">
        <f>IF($H302="","",IFERROR(INDEX('Settings'!$J$10:$J$39,MATCH($H302,'Settings'!$I$10:$I$39,0)),""))</f>
        <v/>
      </c>
      <c r="J302" s="6" t="n">
        <v>2</v>
      </c>
      <c r="K302" s="8" t="n">
        <v>220</v>
      </c>
      <c r="L302" s="8" t="n"/>
      <c r="M302" s="14">
        <f>IF($A302="","",$J302*$K302)</f>
        <v/>
      </c>
      <c r="N302" s="14">
        <f>IF($A302="","",$M302-$L302)</f>
        <v/>
      </c>
      <c r="O302" s="4" t="inlineStr">
        <is>
          <t>Card</t>
        </is>
      </c>
      <c r="P302" s="15">
        <f>IF($A302="","",DATE(YEAR($A302),MONTH($A302),1))</f>
        <v/>
      </c>
      <c r="Q302" s="16">
        <f>IF($H302="","",$J302*IFERROR(INDEX('Settings'!$L$10:$L$39,MATCH($H302,'Settings'!$I$10:$I$39,0)),0))</f>
        <v/>
      </c>
      <c r="R302" s="17">
        <f>IF($A302="","",$A302-WEEKDAY($A302,2)+1)</f>
        <v/>
      </c>
    </row>
    <row r="303">
      <c r="A303" s="5" t="n">
        <v>46229</v>
      </c>
      <c r="B303" s="4" t="inlineStr">
        <is>
          <t>North branch</t>
        </is>
      </c>
      <c r="C303" s="4" t="inlineStr">
        <is>
          <t>North 2</t>
        </is>
      </c>
      <c r="D303" s="4" t="inlineStr">
        <is>
          <t>Dr Layla Al Qahtani</t>
        </is>
      </c>
      <c r="E303" s="4" t="inlineStr">
        <is>
          <t>P-2966</t>
        </is>
      </c>
      <c r="F303" s="4" t="inlineStr">
        <is>
          <t>Returning</t>
        </is>
      </c>
      <c r="G303" s="4" t="inlineStr">
        <is>
          <t>Google</t>
        </is>
      </c>
      <c r="H303" s="4" t="inlineStr">
        <is>
          <t>Facial cleansing</t>
        </is>
      </c>
      <c r="I303" s="9">
        <f>IF($H303="","",IFERROR(INDEX('Settings'!$J$10:$J$39,MATCH($H303,'Settings'!$I$10:$I$39,0)),""))</f>
        <v/>
      </c>
      <c r="J303" s="6" t="n">
        <v>1</v>
      </c>
      <c r="K303" s="8" t="n">
        <v>400</v>
      </c>
      <c r="L303" s="8" t="n">
        <v>40</v>
      </c>
      <c r="M303" s="14">
        <f>IF($A303="","",$J303*$K303)</f>
        <v/>
      </c>
      <c r="N303" s="14">
        <f>IF($A303="","",$M303-$L303)</f>
        <v/>
      </c>
      <c r="O303" s="4" t="inlineStr">
        <is>
          <t>Card</t>
        </is>
      </c>
      <c r="P303" s="15">
        <f>IF($A303="","",DATE(YEAR($A303),MONTH($A303),1))</f>
        <v/>
      </c>
      <c r="Q303" s="16">
        <f>IF($H303="","",$J303*IFERROR(INDEX('Settings'!$L$10:$L$39,MATCH($H303,'Settings'!$I$10:$I$39,0)),0))</f>
        <v/>
      </c>
      <c r="R303" s="17">
        <f>IF($A303="","",$A303-WEEKDAY($A303,2)+1)</f>
        <v/>
      </c>
    </row>
    <row r="304">
      <c r="A304" s="5" t="n">
        <v>46230</v>
      </c>
      <c r="B304" s="4" t="inlineStr">
        <is>
          <t>Main branch</t>
        </is>
      </c>
      <c r="C304" s="4" t="inlineStr">
        <is>
          <t>Main 1</t>
        </is>
      </c>
      <c r="D304" s="4" t="inlineStr">
        <is>
          <t>Dr Sara Al Harbi</t>
        </is>
      </c>
      <c r="E304" s="4" t="inlineStr">
        <is>
          <t>P-2455</t>
        </is>
      </c>
      <c r="F304" s="4" t="inlineStr">
        <is>
          <t>Returning</t>
        </is>
      </c>
      <c r="G304" s="4" t="inlineStr">
        <is>
          <t>Referral</t>
        </is>
      </c>
      <c r="H304" s="4" t="inlineStr">
        <is>
          <t>Follow-up visit</t>
        </is>
      </c>
      <c r="I304" s="9">
        <f>IF($H304="","",IFERROR(INDEX('Settings'!$J$10:$J$39,MATCH($H304,'Settings'!$I$10:$I$39,0)),""))</f>
        <v/>
      </c>
      <c r="J304" s="6" t="n">
        <v>1</v>
      </c>
      <c r="K304" s="8" t="n">
        <v>150</v>
      </c>
      <c r="L304" s="8" t="n"/>
      <c r="M304" s="14">
        <f>IF($A304="","",$J304*$K304)</f>
        <v/>
      </c>
      <c r="N304" s="14">
        <f>IF($A304="","",$M304-$L304)</f>
        <v/>
      </c>
      <c r="O304" s="4" t="inlineStr">
        <is>
          <t>Cash</t>
        </is>
      </c>
      <c r="P304" s="15">
        <f>IF($A304="","",DATE(YEAR($A304),MONTH($A304),1))</f>
        <v/>
      </c>
      <c r="Q304" s="16">
        <f>IF($H304="","",$J304*IFERROR(INDEX('Settings'!$L$10:$L$39,MATCH($H304,'Settings'!$I$10:$I$39,0)),0))</f>
        <v/>
      </c>
      <c r="R304" s="17">
        <f>IF($A304="","",$A304-WEEKDAY($A304,2)+1)</f>
        <v/>
      </c>
    </row>
    <row r="305">
      <c r="A305" s="5" t="n">
        <v>46230</v>
      </c>
      <c r="B305" s="4" t="inlineStr">
        <is>
          <t>Main branch</t>
        </is>
      </c>
      <c r="C305" s="4" t="inlineStr">
        <is>
          <t>Main 1</t>
        </is>
      </c>
      <c r="D305" s="4" t="inlineStr">
        <is>
          <t>Dr Noura Al Subaie</t>
        </is>
      </c>
      <c r="E305" s="4" t="inlineStr">
        <is>
          <t>P-2647</t>
        </is>
      </c>
      <c r="F305" s="4" t="inlineStr">
        <is>
          <t>Returning</t>
        </is>
      </c>
      <c r="G305" s="4" t="inlineStr">
        <is>
          <t>WhatsApp</t>
        </is>
      </c>
      <c r="H305" s="4" t="inlineStr">
        <is>
          <t>Filler injection</t>
        </is>
      </c>
      <c r="I305" s="9">
        <f>IF($H305="","",IFERROR(INDEX('Settings'!$J$10:$J$39,MATCH($H305,'Settings'!$I$10:$I$39,0)),""))</f>
        <v/>
      </c>
      <c r="J305" s="6" t="n">
        <v>1</v>
      </c>
      <c r="K305" s="8" t="n">
        <v>1800</v>
      </c>
      <c r="L305" s="8" t="n">
        <v>180</v>
      </c>
      <c r="M305" s="14">
        <f>IF($A305="","",$J305*$K305)</f>
        <v/>
      </c>
      <c r="N305" s="14">
        <f>IF($A305="","",$M305-$L305)</f>
        <v/>
      </c>
      <c r="O305" s="4" t="inlineStr">
        <is>
          <t>Card</t>
        </is>
      </c>
      <c r="P305" s="15">
        <f>IF($A305="","",DATE(YEAR($A305),MONTH($A305),1))</f>
        <v/>
      </c>
      <c r="Q305" s="16">
        <f>IF($H305="","",$J305*IFERROR(INDEX('Settings'!$L$10:$L$39,MATCH($H305,'Settings'!$I$10:$I$39,0)),0))</f>
        <v/>
      </c>
      <c r="R305" s="17">
        <f>IF($A305="","",$A305-WEEKDAY($A305,2)+1)</f>
        <v/>
      </c>
    </row>
    <row r="306">
      <c r="A306" s="5" t="n">
        <v>46230</v>
      </c>
      <c r="B306" s="4" t="inlineStr">
        <is>
          <t>Main branch</t>
        </is>
      </c>
      <c r="C306" s="4" t="inlineStr">
        <is>
          <t>Main 1</t>
        </is>
      </c>
      <c r="D306" s="4" t="inlineStr">
        <is>
          <t>Dr Ahmed Mansour</t>
        </is>
      </c>
      <c r="E306" s="4" t="inlineStr">
        <is>
          <t>P-3144</t>
        </is>
      </c>
      <c r="F306" s="4" t="inlineStr">
        <is>
          <t>Returning</t>
        </is>
      </c>
      <c r="G306" s="4" t="inlineStr">
        <is>
          <t>Instagram</t>
        </is>
      </c>
      <c r="H306" s="4" t="inlineStr">
        <is>
          <t>Physiotherapy session</t>
        </is>
      </c>
      <c r="I306" s="9">
        <f>IF($H306="","",IFERROR(INDEX('Settings'!$J$10:$J$39,MATCH($H306,'Settings'!$I$10:$I$39,0)),""))</f>
        <v/>
      </c>
      <c r="J306" s="6" t="n">
        <v>1</v>
      </c>
      <c r="K306" s="8" t="n">
        <v>300</v>
      </c>
      <c r="L306" s="8" t="n">
        <v>40</v>
      </c>
      <c r="M306" s="14">
        <f>IF($A306="","",$J306*$K306)</f>
        <v/>
      </c>
      <c r="N306" s="14">
        <f>IF($A306="","",$M306-$L306)</f>
        <v/>
      </c>
      <c r="O306" s="4" t="inlineStr">
        <is>
          <t>Cash</t>
        </is>
      </c>
      <c r="P306" s="15">
        <f>IF($A306="","",DATE(YEAR($A306),MONTH($A306),1))</f>
        <v/>
      </c>
      <c r="Q306" s="16">
        <f>IF($H306="","",$J306*IFERROR(INDEX('Settings'!$L$10:$L$39,MATCH($H306,'Settings'!$I$10:$I$39,0)),0))</f>
        <v/>
      </c>
      <c r="R306" s="17">
        <f>IF($A306="","",$A306-WEEKDAY($A306,2)+1)</f>
        <v/>
      </c>
    </row>
    <row r="307">
      <c r="A307" s="5" t="n">
        <v>46230</v>
      </c>
      <c r="B307" s="4" t="inlineStr">
        <is>
          <t>Main branch</t>
        </is>
      </c>
      <c r="C307" s="4" t="inlineStr">
        <is>
          <t>Main 2</t>
        </is>
      </c>
      <c r="D307" s="4" t="inlineStr">
        <is>
          <t>Dr Ahmed Mansour</t>
        </is>
      </c>
      <c r="E307" s="4" t="inlineStr">
        <is>
          <t>P-2319</t>
        </is>
      </c>
      <c r="F307" s="4" t="inlineStr">
        <is>
          <t>Returning</t>
        </is>
      </c>
      <c r="G307" s="4" t="inlineStr">
        <is>
          <t>Walk-in</t>
        </is>
      </c>
      <c r="H307" s="4" t="inlineStr">
        <is>
          <t>Facial cleansing</t>
        </is>
      </c>
      <c r="I307" s="9">
        <f>IF($H307="","",IFERROR(INDEX('Settings'!$J$10:$J$39,MATCH($H307,'Settings'!$I$10:$I$39,0)),""))</f>
        <v/>
      </c>
      <c r="J307" s="6" t="n">
        <v>1</v>
      </c>
      <c r="K307" s="8" t="n">
        <v>400</v>
      </c>
      <c r="L307" s="8" t="n"/>
      <c r="M307" s="14">
        <f>IF($A307="","",$J307*$K307)</f>
        <v/>
      </c>
      <c r="N307" s="14">
        <f>IF($A307="","",$M307-$L307)</f>
        <v/>
      </c>
      <c r="O307" s="4" t="inlineStr">
        <is>
          <t>Card</t>
        </is>
      </c>
      <c r="P307" s="15">
        <f>IF($A307="","",DATE(YEAR($A307),MONTH($A307),1))</f>
        <v/>
      </c>
      <c r="Q307" s="16">
        <f>IF($H307="","",$J307*IFERROR(INDEX('Settings'!$L$10:$L$39,MATCH($H307,'Settings'!$I$10:$I$39,0)),0))</f>
        <v/>
      </c>
      <c r="R307" s="17">
        <f>IF($A307="","",$A307-WEEKDAY($A307,2)+1)</f>
        <v/>
      </c>
    </row>
    <row r="308">
      <c r="A308" s="5" t="n">
        <v>46230</v>
      </c>
      <c r="B308" s="4" t="inlineStr">
        <is>
          <t>Main branch</t>
        </is>
      </c>
      <c r="C308" s="4" t="inlineStr">
        <is>
          <t>Main 2</t>
        </is>
      </c>
      <c r="D308" s="4" t="inlineStr">
        <is>
          <t>Dr Noura Al Subaie</t>
        </is>
      </c>
      <c r="E308" s="4" t="inlineStr">
        <is>
          <t>P-2147</t>
        </is>
      </c>
      <c r="F308" s="4" t="inlineStr">
        <is>
          <t>Returning</t>
        </is>
      </c>
      <c r="G308" s="4" t="inlineStr">
        <is>
          <t>Referral</t>
        </is>
      </c>
      <c r="H308" s="4" t="inlineStr">
        <is>
          <t>Physiotherapy session</t>
        </is>
      </c>
      <c r="I308" s="9">
        <f>IF($H308="","",IFERROR(INDEX('Settings'!$J$10:$J$39,MATCH($H308,'Settings'!$I$10:$I$39,0)),""))</f>
        <v/>
      </c>
      <c r="J308" s="6" t="n">
        <v>1</v>
      </c>
      <c r="K308" s="8" t="n">
        <v>300</v>
      </c>
      <c r="L308" s="8" t="n">
        <v>30</v>
      </c>
      <c r="M308" s="14">
        <f>IF($A308="","",$J308*$K308)</f>
        <v/>
      </c>
      <c r="N308" s="14">
        <f>IF($A308="","",$M308-$L308)</f>
        <v/>
      </c>
      <c r="O308" s="4" t="inlineStr">
        <is>
          <t>Cash</t>
        </is>
      </c>
      <c r="P308" s="15">
        <f>IF($A308="","",DATE(YEAR($A308),MONTH($A308),1))</f>
        <v/>
      </c>
      <c r="Q308" s="16">
        <f>IF($H308="","",$J308*IFERROR(INDEX('Settings'!$L$10:$L$39,MATCH($H308,'Settings'!$I$10:$I$39,0)),0))</f>
        <v/>
      </c>
      <c r="R308" s="17">
        <f>IF($A308="","",$A308-WEEKDAY($A308,2)+1)</f>
        <v/>
      </c>
    </row>
    <row r="309">
      <c r="A309" s="5" t="n">
        <v>46230</v>
      </c>
      <c r="B309" s="4" t="inlineStr">
        <is>
          <t>Main branch</t>
        </is>
      </c>
      <c r="C309" s="4" t="inlineStr">
        <is>
          <t>Main 2</t>
        </is>
      </c>
      <c r="D309" s="4" t="inlineStr">
        <is>
          <t>Dr Ahmed Mansour</t>
        </is>
      </c>
      <c r="E309" s="4" t="inlineStr">
        <is>
          <t>P-2777</t>
        </is>
      </c>
      <c r="F309" s="4" t="inlineStr">
        <is>
          <t>Returning</t>
        </is>
      </c>
      <c r="G309" s="4" t="inlineStr">
        <is>
          <t>Instagram</t>
        </is>
      </c>
      <c r="H309" s="4" t="inlineStr">
        <is>
          <t>Chemical peel</t>
        </is>
      </c>
      <c r="I309" s="9">
        <f>IF($H309="","",IFERROR(INDEX('Settings'!$J$10:$J$39,MATCH($H309,'Settings'!$I$10:$I$39,0)),""))</f>
        <v/>
      </c>
      <c r="J309" s="6" t="n">
        <v>1</v>
      </c>
      <c r="K309" s="8" t="n">
        <v>800</v>
      </c>
      <c r="L309" s="8" t="n"/>
      <c r="M309" s="14">
        <f>IF($A309="","",$J309*$K309)</f>
        <v/>
      </c>
      <c r="N309" s="14">
        <f>IF($A309="","",$M309-$L309)</f>
        <v/>
      </c>
      <c r="O309" s="4" t="inlineStr">
        <is>
          <t>Cash</t>
        </is>
      </c>
      <c r="P309" s="15">
        <f>IF($A309="","",DATE(YEAR($A309),MONTH($A309),1))</f>
        <v/>
      </c>
      <c r="Q309" s="16">
        <f>IF($H309="","",$J309*IFERROR(INDEX('Settings'!$L$10:$L$39,MATCH($H309,'Settings'!$I$10:$I$39,0)),0))</f>
        <v/>
      </c>
      <c r="R309" s="17">
        <f>IF($A309="","",$A309-WEEKDAY($A309,2)+1)</f>
        <v/>
      </c>
    </row>
    <row r="310">
      <c r="A310" s="5" t="n">
        <v>46230</v>
      </c>
      <c r="B310" s="4" t="inlineStr">
        <is>
          <t>Main branch</t>
        </is>
      </c>
      <c r="C310" s="4" t="inlineStr">
        <is>
          <t>Main 3</t>
        </is>
      </c>
      <c r="D310" s="4" t="inlineStr">
        <is>
          <t>Dr Ahmed Mansour</t>
        </is>
      </c>
      <c r="E310" s="4" t="inlineStr">
        <is>
          <t>P-2747</t>
        </is>
      </c>
      <c r="F310" s="4" t="inlineStr">
        <is>
          <t>Returning</t>
        </is>
      </c>
      <c r="G310" s="4" t="inlineStr">
        <is>
          <t>Instagram</t>
        </is>
      </c>
      <c r="H310" s="4" t="inlineStr">
        <is>
          <t>Sunscreen cream</t>
        </is>
      </c>
      <c r="I310" s="9">
        <f>IF($H310="","",IFERROR(INDEX('Settings'!$J$10:$J$39,MATCH($H310,'Settings'!$I$10:$I$39,0)),""))</f>
        <v/>
      </c>
      <c r="J310" s="6" t="n">
        <v>1</v>
      </c>
      <c r="K310" s="8" t="n">
        <v>120</v>
      </c>
      <c r="L310" s="8" t="n"/>
      <c r="M310" s="14">
        <f>IF($A310="","",$J310*$K310)</f>
        <v/>
      </c>
      <c r="N310" s="14">
        <f>IF($A310="","",$M310-$L310)</f>
        <v/>
      </c>
      <c r="O310" s="4" t="inlineStr">
        <is>
          <t>Payment link</t>
        </is>
      </c>
      <c r="P310" s="15">
        <f>IF($A310="","",DATE(YEAR($A310),MONTH($A310),1))</f>
        <v/>
      </c>
      <c r="Q310" s="16">
        <f>IF($H310="","",$J310*IFERROR(INDEX('Settings'!$L$10:$L$39,MATCH($H310,'Settings'!$I$10:$I$39,0)),0))</f>
        <v/>
      </c>
      <c r="R310" s="17">
        <f>IF($A310="","",$A310-WEEKDAY($A310,2)+1)</f>
        <v/>
      </c>
    </row>
    <row r="311">
      <c r="A311" s="5" t="n">
        <v>46230</v>
      </c>
      <c r="B311" s="4" t="inlineStr">
        <is>
          <t>Main branch</t>
        </is>
      </c>
      <c r="C311" s="4" t="inlineStr">
        <is>
          <t>Main 3</t>
        </is>
      </c>
      <c r="D311" s="4" t="inlineStr">
        <is>
          <t>Dr Ahmed Mansour</t>
        </is>
      </c>
      <c r="E311" s="4" t="inlineStr">
        <is>
          <t>P-2234</t>
        </is>
      </c>
      <c r="F311" s="4" t="inlineStr">
        <is>
          <t>New</t>
        </is>
      </c>
      <c r="G311" s="4" t="inlineStr">
        <is>
          <t>Instagram</t>
        </is>
      </c>
      <c r="H311" s="4" t="inlineStr">
        <is>
          <t>Facial cleansing</t>
        </is>
      </c>
      <c r="I311" s="9">
        <f>IF($H311="","",IFERROR(INDEX('Settings'!$J$10:$J$39,MATCH($H311,'Settings'!$I$10:$I$39,0)),""))</f>
        <v/>
      </c>
      <c r="J311" s="6" t="n">
        <v>1</v>
      </c>
      <c r="K311" s="8" t="n">
        <v>400</v>
      </c>
      <c r="L311" s="8" t="n"/>
      <c r="M311" s="14">
        <f>IF($A311="","",$J311*$K311)</f>
        <v/>
      </c>
      <c r="N311" s="14">
        <f>IF($A311="","",$M311-$L311)</f>
        <v/>
      </c>
      <c r="O311" s="4" t="inlineStr">
        <is>
          <t>Card</t>
        </is>
      </c>
      <c r="P311" s="15">
        <f>IF($A311="","",DATE(YEAR($A311),MONTH($A311),1))</f>
        <v/>
      </c>
      <c r="Q311" s="16">
        <f>IF($H311="","",$J311*IFERROR(INDEX('Settings'!$L$10:$L$39,MATCH($H311,'Settings'!$I$10:$I$39,0)),0))</f>
        <v/>
      </c>
      <c r="R311" s="17">
        <f>IF($A311="","",$A311-WEEKDAY($A311,2)+1)</f>
        <v/>
      </c>
    </row>
    <row r="312">
      <c r="A312" s="5" t="n">
        <v>46230</v>
      </c>
      <c r="B312" s="4" t="inlineStr">
        <is>
          <t>Main branch</t>
        </is>
      </c>
      <c r="C312" s="4" t="inlineStr">
        <is>
          <t>Main 4</t>
        </is>
      </c>
      <c r="D312" s="4" t="inlineStr">
        <is>
          <t>Dr Sara Al Harbi</t>
        </is>
      </c>
      <c r="E312" s="4" t="inlineStr">
        <is>
          <t>P-3078</t>
        </is>
      </c>
      <c r="F312" s="4" t="inlineStr">
        <is>
          <t>Returning</t>
        </is>
      </c>
      <c r="G312" s="4" t="inlineStr">
        <is>
          <t>Referral</t>
        </is>
      </c>
      <c r="H312" s="4" t="inlineStr">
        <is>
          <t>Chemical peel</t>
        </is>
      </c>
      <c r="I312" s="9">
        <f>IF($H312="","",IFERROR(INDEX('Settings'!$J$10:$J$39,MATCH($H312,'Settings'!$I$10:$I$39,0)),""))</f>
        <v/>
      </c>
      <c r="J312" s="6" t="n">
        <v>1</v>
      </c>
      <c r="K312" s="8" t="n">
        <v>800</v>
      </c>
      <c r="L312" s="8" t="n">
        <v>40</v>
      </c>
      <c r="M312" s="14">
        <f>IF($A312="","",$J312*$K312)</f>
        <v/>
      </c>
      <c r="N312" s="14">
        <f>IF($A312="","",$M312-$L312)</f>
        <v/>
      </c>
      <c r="O312" s="4" t="inlineStr">
        <is>
          <t>Payment link</t>
        </is>
      </c>
      <c r="P312" s="15">
        <f>IF($A312="","",DATE(YEAR($A312),MONTH($A312),1))</f>
        <v/>
      </c>
      <c r="Q312" s="16">
        <f>IF($H312="","",$J312*IFERROR(INDEX('Settings'!$L$10:$L$39,MATCH($H312,'Settings'!$I$10:$I$39,0)),0))</f>
        <v/>
      </c>
      <c r="R312" s="17">
        <f>IF($A312="","",$A312-WEEKDAY($A312,2)+1)</f>
        <v/>
      </c>
    </row>
    <row r="313">
      <c r="A313" s="5" t="n">
        <v>46230</v>
      </c>
      <c r="B313" s="4" t="inlineStr">
        <is>
          <t>Main branch</t>
        </is>
      </c>
      <c r="C313" s="4" t="inlineStr">
        <is>
          <t>Main 4</t>
        </is>
      </c>
      <c r="D313" s="4" t="inlineStr">
        <is>
          <t>Dr Noura Al Subaie</t>
        </is>
      </c>
      <c r="E313" s="4" t="inlineStr">
        <is>
          <t>P-3071</t>
        </is>
      </c>
      <c r="F313" s="4" t="inlineStr">
        <is>
          <t>Returning</t>
        </is>
      </c>
      <c r="G313" s="4" t="inlineStr">
        <is>
          <t>Walk-in</t>
        </is>
      </c>
      <c r="H313" s="4" t="inlineStr">
        <is>
          <t>Laser session, face</t>
        </is>
      </c>
      <c r="I313" s="9">
        <f>IF($H313="","",IFERROR(INDEX('Settings'!$J$10:$J$39,MATCH($H313,'Settings'!$I$10:$I$39,0)),""))</f>
        <v/>
      </c>
      <c r="J313" s="6" t="n">
        <v>1</v>
      </c>
      <c r="K313" s="8" t="n">
        <v>600</v>
      </c>
      <c r="L313" s="8" t="n"/>
      <c r="M313" s="14">
        <f>IF($A313="","",$J313*$K313)</f>
        <v/>
      </c>
      <c r="N313" s="14">
        <f>IF($A313="","",$M313-$L313)</f>
        <v/>
      </c>
      <c r="O313" s="4" t="inlineStr">
        <is>
          <t>Cash</t>
        </is>
      </c>
      <c r="P313" s="15">
        <f>IF($A313="","",DATE(YEAR($A313),MONTH($A313),1))</f>
        <v/>
      </c>
      <c r="Q313" s="16">
        <f>IF($H313="","",$J313*IFERROR(INDEX('Settings'!$L$10:$L$39,MATCH($H313,'Settings'!$I$10:$I$39,0)),0))</f>
        <v/>
      </c>
      <c r="R313" s="17">
        <f>IF($A313="","",$A313-WEEKDAY($A313,2)+1)</f>
        <v/>
      </c>
    </row>
    <row r="314">
      <c r="A314" s="5" t="n">
        <v>46230</v>
      </c>
      <c r="B314" s="4" t="inlineStr">
        <is>
          <t>North branch</t>
        </is>
      </c>
      <c r="C314" s="4" t="inlineStr">
        <is>
          <t>North 1</t>
        </is>
      </c>
      <c r="D314" s="4" t="inlineStr">
        <is>
          <t>Dr Layla Al Qahtani</t>
        </is>
      </c>
      <c r="E314" s="4" t="inlineStr">
        <is>
          <t>P-2817</t>
        </is>
      </c>
      <c r="F314" s="4" t="inlineStr">
        <is>
          <t>Returning</t>
        </is>
      </c>
      <c r="G314" s="4" t="inlineStr">
        <is>
          <t>Walk-in</t>
        </is>
      </c>
      <c r="H314" s="4" t="inlineStr">
        <is>
          <t>Laser session, body</t>
        </is>
      </c>
      <c r="I314" s="9">
        <f>IF($H314="","",IFERROR(INDEX('Settings'!$J$10:$J$39,MATCH($H314,'Settings'!$I$10:$I$39,0)),""))</f>
        <v/>
      </c>
      <c r="J314" s="6" t="n">
        <v>1</v>
      </c>
      <c r="K314" s="8" t="n">
        <v>1200</v>
      </c>
      <c r="L314" s="8" t="n"/>
      <c r="M314" s="14">
        <f>IF($A314="","",$J314*$K314)</f>
        <v/>
      </c>
      <c r="N314" s="14">
        <f>IF($A314="","",$M314-$L314)</f>
        <v/>
      </c>
      <c r="O314" s="4" t="inlineStr">
        <is>
          <t>Insurance</t>
        </is>
      </c>
      <c r="P314" s="15">
        <f>IF($A314="","",DATE(YEAR($A314),MONTH($A314),1))</f>
        <v/>
      </c>
      <c r="Q314" s="16">
        <f>IF($H314="","",$J314*IFERROR(INDEX('Settings'!$L$10:$L$39,MATCH($H314,'Settings'!$I$10:$I$39,0)),0))</f>
        <v/>
      </c>
      <c r="R314" s="17">
        <f>IF($A314="","",$A314-WEEKDAY($A314,2)+1)</f>
        <v/>
      </c>
    </row>
    <row r="315">
      <c r="A315" s="5" t="n">
        <v>46230</v>
      </c>
      <c r="B315" s="4" t="inlineStr">
        <is>
          <t>North branch</t>
        </is>
      </c>
      <c r="C315" s="4" t="inlineStr">
        <is>
          <t>North 1</t>
        </is>
      </c>
      <c r="D315" s="4" t="inlineStr">
        <is>
          <t>Dr Khaled Youssef</t>
        </is>
      </c>
      <c r="E315" s="4" t="inlineStr">
        <is>
          <t>P-2940</t>
        </is>
      </c>
      <c r="F315" s="4" t="inlineStr">
        <is>
          <t>Returning</t>
        </is>
      </c>
      <c r="G315" s="4" t="inlineStr">
        <is>
          <t>Referral</t>
        </is>
      </c>
      <c r="H315" s="4" t="inlineStr">
        <is>
          <t>Vitamin C serum</t>
        </is>
      </c>
      <c r="I315" s="9">
        <f>IF($H315="","",IFERROR(INDEX('Settings'!$J$10:$J$39,MATCH($H315,'Settings'!$I$10:$I$39,0)),""))</f>
        <v/>
      </c>
      <c r="J315" s="6" t="n">
        <v>1</v>
      </c>
      <c r="K315" s="8" t="n">
        <v>220</v>
      </c>
      <c r="L315" s="8" t="n"/>
      <c r="M315" s="14">
        <f>IF($A315="","",$J315*$K315)</f>
        <v/>
      </c>
      <c r="N315" s="14">
        <f>IF($A315="","",$M315-$L315)</f>
        <v/>
      </c>
      <c r="O315" s="4" t="inlineStr">
        <is>
          <t>Card</t>
        </is>
      </c>
      <c r="P315" s="15">
        <f>IF($A315="","",DATE(YEAR($A315),MONTH($A315),1))</f>
        <v/>
      </c>
      <c r="Q315" s="16">
        <f>IF($H315="","",$J315*IFERROR(INDEX('Settings'!$L$10:$L$39,MATCH($H315,'Settings'!$I$10:$I$39,0)),0))</f>
        <v/>
      </c>
      <c r="R315" s="17">
        <f>IF($A315="","",$A315-WEEKDAY($A315,2)+1)</f>
        <v/>
      </c>
    </row>
    <row r="316">
      <c r="A316" s="5" t="n">
        <v>46230</v>
      </c>
      <c r="B316" s="4" t="inlineStr">
        <is>
          <t>North branch</t>
        </is>
      </c>
      <c r="C316" s="4" t="inlineStr">
        <is>
          <t>North 1</t>
        </is>
      </c>
      <c r="D316" s="4" t="inlineStr">
        <is>
          <t>Dr Mohamed Adel</t>
        </is>
      </c>
      <c r="E316" s="4" t="inlineStr">
        <is>
          <t>P-3119</t>
        </is>
      </c>
      <c r="F316" s="4" t="inlineStr">
        <is>
          <t>Returning</t>
        </is>
      </c>
      <c r="G316" s="4" t="inlineStr">
        <is>
          <t>Instagram</t>
        </is>
      </c>
      <c r="H316" s="4" t="inlineStr">
        <is>
          <t>Vitamin C serum</t>
        </is>
      </c>
      <c r="I316" s="9">
        <f>IF($H316="","",IFERROR(INDEX('Settings'!$J$10:$J$39,MATCH($H316,'Settings'!$I$10:$I$39,0)),""))</f>
        <v/>
      </c>
      <c r="J316" s="6" t="n">
        <v>1</v>
      </c>
      <c r="K316" s="8" t="n">
        <v>220</v>
      </c>
      <c r="L316" s="8" t="n"/>
      <c r="M316" s="14">
        <f>IF($A316="","",$J316*$K316)</f>
        <v/>
      </c>
      <c r="N316" s="14">
        <f>IF($A316="","",$M316-$L316)</f>
        <v/>
      </c>
      <c r="O316" s="4" t="inlineStr">
        <is>
          <t>Card</t>
        </is>
      </c>
      <c r="P316" s="15">
        <f>IF($A316="","",DATE(YEAR($A316),MONTH($A316),1))</f>
        <v/>
      </c>
      <c r="Q316" s="16">
        <f>IF($H316="","",$J316*IFERROR(INDEX('Settings'!$L$10:$L$39,MATCH($H316,'Settings'!$I$10:$I$39,0)),0))</f>
        <v/>
      </c>
      <c r="R316" s="17">
        <f>IF($A316="","",$A316-WEEKDAY($A316,2)+1)</f>
        <v/>
      </c>
    </row>
    <row r="317">
      <c r="A317" s="5" t="n">
        <v>46230</v>
      </c>
      <c r="B317" s="4" t="inlineStr">
        <is>
          <t>North branch</t>
        </is>
      </c>
      <c r="C317" s="4" t="inlineStr">
        <is>
          <t>North 1</t>
        </is>
      </c>
      <c r="D317" s="4" t="inlineStr">
        <is>
          <t>Dr Khaled Youssef</t>
        </is>
      </c>
      <c r="E317" s="4" t="inlineStr">
        <is>
          <t>P-2726</t>
        </is>
      </c>
      <c r="F317" s="4" t="inlineStr">
        <is>
          <t>Returning</t>
        </is>
      </c>
      <c r="G317" s="4" t="inlineStr">
        <is>
          <t>Walk-in</t>
        </is>
      </c>
      <c r="H317" s="4" t="inlineStr">
        <is>
          <t>Laser session, body</t>
        </is>
      </c>
      <c r="I317" s="9">
        <f>IF($H317="","",IFERROR(INDEX('Settings'!$J$10:$J$39,MATCH($H317,'Settings'!$I$10:$I$39,0)),""))</f>
        <v/>
      </c>
      <c r="J317" s="6" t="n">
        <v>1</v>
      </c>
      <c r="K317" s="8" t="n">
        <v>1200</v>
      </c>
      <c r="L317" s="8" t="n">
        <v>120</v>
      </c>
      <c r="M317" s="14">
        <f>IF($A317="","",$J317*$K317)</f>
        <v/>
      </c>
      <c r="N317" s="14">
        <f>IF($A317="","",$M317-$L317)</f>
        <v/>
      </c>
      <c r="O317" s="4" t="inlineStr">
        <is>
          <t>Card</t>
        </is>
      </c>
      <c r="P317" s="15">
        <f>IF($A317="","",DATE(YEAR($A317),MONTH($A317),1))</f>
        <v/>
      </c>
      <c r="Q317" s="16">
        <f>IF($H317="","",$J317*IFERROR(INDEX('Settings'!$L$10:$L$39,MATCH($H317,'Settings'!$I$10:$I$39,0)),0))</f>
        <v/>
      </c>
      <c r="R317" s="17">
        <f>IF($A317="","",$A317-WEEKDAY($A317,2)+1)</f>
        <v/>
      </c>
    </row>
    <row r="318">
      <c r="A318" s="5" t="n">
        <v>46230</v>
      </c>
      <c r="B318" s="4" t="inlineStr">
        <is>
          <t>North branch</t>
        </is>
      </c>
      <c r="C318" s="4" t="inlineStr">
        <is>
          <t>North 1</t>
        </is>
      </c>
      <c r="D318" s="4" t="inlineStr">
        <is>
          <t>Dr Khaled Youssef</t>
        </is>
      </c>
      <c r="E318" s="4" t="inlineStr">
        <is>
          <t>P-2119</t>
        </is>
      </c>
      <c r="F318" s="4" t="inlineStr">
        <is>
          <t>Returning</t>
        </is>
      </c>
      <c r="G318" s="4" t="inlineStr">
        <is>
          <t>Referral</t>
        </is>
      </c>
      <c r="H318" s="4" t="inlineStr">
        <is>
          <t>Sunscreen cream</t>
        </is>
      </c>
      <c r="I318" s="9">
        <f>IF($H318="","",IFERROR(INDEX('Settings'!$J$10:$J$39,MATCH($H318,'Settings'!$I$10:$I$39,0)),""))</f>
        <v/>
      </c>
      <c r="J318" s="6" t="n">
        <v>1</v>
      </c>
      <c r="K318" s="8" t="n">
        <v>120</v>
      </c>
      <c r="L318" s="8" t="n">
        <v>10</v>
      </c>
      <c r="M318" s="14">
        <f>IF($A318="","",$J318*$K318)</f>
        <v/>
      </c>
      <c r="N318" s="14">
        <f>IF($A318="","",$M318-$L318)</f>
        <v/>
      </c>
      <c r="O318" s="4" t="inlineStr">
        <is>
          <t>Cash</t>
        </is>
      </c>
      <c r="P318" s="15">
        <f>IF($A318="","",DATE(YEAR($A318),MONTH($A318),1))</f>
        <v/>
      </c>
      <c r="Q318" s="16">
        <f>IF($H318="","",$J318*IFERROR(INDEX('Settings'!$L$10:$L$39,MATCH($H318,'Settings'!$I$10:$I$39,0)),0))</f>
        <v/>
      </c>
      <c r="R318" s="17">
        <f>IF($A318="","",$A318-WEEKDAY($A318,2)+1)</f>
        <v/>
      </c>
    </row>
    <row r="319">
      <c r="A319" s="5" t="n">
        <v>46230</v>
      </c>
      <c r="B319" s="4" t="inlineStr">
        <is>
          <t>North branch</t>
        </is>
      </c>
      <c r="C319" s="4" t="inlineStr">
        <is>
          <t>North 2</t>
        </is>
      </c>
      <c r="D319" s="4" t="inlineStr">
        <is>
          <t>Dr Mohamed Adel</t>
        </is>
      </c>
      <c r="E319" s="4" t="inlineStr">
        <is>
          <t>P-2461</t>
        </is>
      </c>
      <c r="F319" s="4" t="inlineStr">
        <is>
          <t>Returning</t>
        </is>
      </c>
      <c r="G319" s="4" t="inlineStr">
        <is>
          <t>Walk-in</t>
        </is>
      </c>
      <c r="H319" s="4" t="inlineStr">
        <is>
          <t>Physiotherapy session</t>
        </is>
      </c>
      <c r="I319" s="9">
        <f>IF($H319="","",IFERROR(INDEX('Settings'!$J$10:$J$39,MATCH($H319,'Settings'!$I$10:$I$39,0)),""))</f>
        <v/>
      </c>
      <c r="J319" s="6" t="n">
        <v>1</v>
      </c>
      <c r="K319" s="8" t="n">
        <v>300</v>
      </c>
      <c r="L319" s="8" t="n"/>
      <c r="M319" s="14">
        <f>IF($A319="","",$J319*$K319)</f>
        <v/>
      </c>
      <c r="N319" s="14">
        <f>IF($A319="","",$M319-$L319)</f>
        <v/>
      </c>
      <c r="O319" s="4" t="inlineStr">
        <is>
          <t>Cash</t>
        </is>
      </c>
      <c r="P319" s="15">
        <f>IF($A319="","",DATE(YEAR($A319),MONTH($A319),1))</f>
        <v/>
      </c>
      <c r="Q319" s="16">
        <f>IF($H319="","",$J319*IFERROR(INDEX('Settings'!$L$10:$L$39,MATCH($H319,'Settings'!$I$10:$I$39,0)),0))</f>
        <v/>
      </c>
      <c r="R319" s="17">
        <f>IF($A319="","",$A319-WEEKDAY($A319,2)+1)</f>
        <v/>
      </c>
    </row>
    <row r="320">
      <c r="A320" s="5" t="n">
        <v>46230</v>
      </c>
      <c r="B320" s="4" t="inlineStr">
        <is>
          <t>North branch</t>
        </is>
      </c>
      <c r="C320" s="4" t="inlineStr">
        <is>
          <t>North 2</t>
        </is>
      </c>
      <c r="D320" s="4" t="inlineStr">
        <is>
          <t>Dr Khaled Youssef</t>
        </is>
      </c>
      <c r="E320" s="4" t="inlineStr">
        <is>
          <t>P-2700</t>
        </is>
      </c>
      <c r="F320" s="4" t="inlineStr">
        <is>
          <t>Returning</t>
        </is>
      </c>
      <c r="G320" s="4" t="inlineStr">
        <is>
          <t>Walk-in</t>
        </is>
      </c>
      <c r="H320" s="4" t="inlineStr">
        <is>
          <t>Physiotherapy session</t>
        </is>
      </c>
      <c r="I320" s="9">
        <f>IF($H320="","",IFERROR(INDEX('Settings'!$J$10:$J$39,MATCH($H320,'Settings'!$I$10:$I$39,0)),""))</f>
        <v/>
      </c>
      <c r="J320" s="6" t="n">
        <v>1</v>
      </c>
      <c r="K320" s="8" t="n">
        <v>300</v>
      </c>
      <c r="L320" s="8" t="n"/>
      <c r="M320" s="14">
        <f>IF($A320="","",$J320*$K320)</f>
        <v/>
      </c>
      <c r="N320" s="14">
        <f>IF($A320="","",$M320-$L320)</f>
        <v/>
      </c>
      <c r="O320" s="4" t="inlineStr">
        <is>
          <t>Card</t>
        </is>
      </c>
      <c r="P320" s="15">
        <f>IF($A320="","",DATE(YEAR($A320),MONTH($A320),1))</f>
        <v/>
      </c>
      <c r="Q320" s="16">
        <f>IF($H320="","",$J320*IFERROR(INDEX('Settings'!$L$10:$L$39,MATCH($H320,'Settings'!$I$10:$I$39,0)),0))</f>
        <v/>
      </c>
      <c r="R320" s="17">
        <f>IF($A320="","",$A320-WEEKDAY($A320,2)+1)</f>
        <v/>
      </c>
    </row>
    <row r="321">
      <c r="A321" s="5" t="n">
        <v>46230</v>
      </c>
      <c r="B321" s="4" t="inlineStr">
        <is>
          <t>North branch</t>
        </is>
      </c>
      <c r="C321" s="4" t="inlineStr">
        <is>
          <t>North 2</t>
        </is>
      </c>
      <c r="D321" s="4" t="inlineStr">
        <is>
          <t>Dr Khaled Youssef</t>
        </is>
      </c>
      <c r="E321" s="4" t="inlineStr">
        <is>
          <t>P-3219</t>
        </is>
      </c>
      <c r="F321" s="4" t="inlineStr">
        <is>
          <t>Returning</t>
        </is>
      </c>
      <c r="G321" s="4" t="inlineStr">
        <is>
          <t>Referral</t>
        </is>
      </c>
      <c r="H321" s="4" t="inlineStr">
        <is>
          <t>Laser session, body</t>
        </is>
      </c>
      <c r="I321" s="9">
        <f>IF($H321="","",IFERROR(INDEX('Settings'!$J$10:$J$39,MATCH($H321,'Settings'!$I$10:$I$39,0)),""))</f>
        <v/>
      </c>
      <c r="J321" s="6" t="n">
        <v>1</v>
      </c>
      <c r="K321" s="8" t="n">
        <v>1200</v>
      </c>
      <c r="L321" s="8" t="n"/>
      <c r="M321" s="14">
        <f>IF($A321="","",$J321*$K321)</f>
        <v/>
      </c>
      <c r="N321" s="14">
        <f>IF($A321="","",$M321-$L321)</f>
        <v/>
      </c>
      <c r="O321" s="4" t="inlineStr">
        <is>
          <t>Card</t>
        </is>
      </c>
      <c r="P321" s="15">
        <f>IF($A321="","",DATE(YEAR($A321),MONTH($A321),1))</f>
        <v/>
      </c>
      <c r="Q321" s="16">
        <f>IF($H321="","",$J321*IFERROR(INDEX('Settings'!$L$10:$L$39,MATCH($H321,'Settings'!$I$10:$I$39,0)),0))</f>
        <v/>
      </c>
      <c r="R321" s="17">
        <f>IF($A321="","",$A321-WEEKDAY($A321,2)+1)</f>
        <v/>
      </c>
    </row>
    <row r="322">
      <c r="A322" s="5" t="n">
        <v>46230</v>
      </c>
      <c r="B322" s="4" t="inlineStr">
        <is>
          <t>North branch</t>
        </is>
      </c>
      <c r="C322" s="4" t="inlineStr">
        <is>
          <t>North 2</t>
        </is>
      </c>
      <c r="D322" s="4" t="inlineStr">
        <is>
          <t>Dr Layla Al Qahtani</t>
        </is>
      </c>
      <c r="E322" s="4" t="inlineStr">
        <is>
          <t>P-2560</t>
        </is>
      </c>
      <c r="F322" s="4" t="inlineStr">
        <is>
          <t>Returning</t>
        </is>
      </c>
      <c r="G322" s="4" t="inlineStr">
        <is>
          <t>Referral</t>
        </is>
      </c>
      <c r="H322" s="4" t="inlineStr">
        <is>
          <t>Follow-up visit</t>
        </is>
      </c>
      <c r="I322" s="9">
        <f>IF($H322="","",IFERROR(INDEX('Settings'!$J$10:$J$39,MATCH($H322,'Settings'!$I$10:$I$39,0)),""))</f>
        <v/>
      </c>
      <c r="J322" s="6" t="n">
        <v>1</v>
      </c>
      <c r="K322" s="8" t="n">
        <v>150</v>
      </c>
      <c r="L322" s="8" t="n"/>
      <c r="M322" s="14">
        <f>IF($A322="","",$J322*$K322)</f>
        <v/>
      </c>
      <c r="N322" s="14">
        <f>IF($A322="","",$M322-$L322)</f>
        <v/>
      </c>
      <c r="O322" s="4" t="inlineStr">
        <is>
          <t>Cash</t>
        </is>
      </c>
      <c r="P322" s="15">
        <f>IF($A322="","",DATE(YEAR($A322),MONTH($A322),1))</f>
        <v/>
      </c>
      <c r="Q322" s="16">
        <f>IF($H322="","",$J322*IFERROR(INDEX('Settings'!$L$10:$L$39,MATCH($H322,'Settings'!$I$10:$I$39,0)),0))</f>
        <v/>
      </c>
      <c r="R322" s="17">
        <f>IF($A322="","",$A322-WEEKDAY($A322,2)+1)</f>
        <v/>
      </c>
    </row>
    <row r="323">
      <c r="A323" s="5" t="n">
        <v>46231</v>
      </c>
      <c r="B323" s="4" t="inlineStr">
        <is>
          <t>Main branch</t>
        </is>
      </c>
      <c r="C323" s="4" t="inlineStr">
        <is>
          <t>Main 1</t>
        </is>
      </c>
      <c r="D323" s="4" t="inlineStr">
        <is>
          <t>Dr Sara Al Harbi</t>
        </is>
      </c>
      <c r="E323" s="4" t="inlineStr">
        <is>
          <t>P-3264</t>
        </is>
      </c>
      <c r="F323" s="4" t="inlineStr">
        <is>
          <t>New</t>
        </is>
      </c>
      <c r="G323" s="4" t="inlineStr">
        <is>
          <t>Instagram</t>
        </is>
      </c>
      <c r="H323" s="4" t="inlineStr">
        <is>
          <t>Physiotherapy session</t>
        </is>
      </c>
      <c r="I323" s="9">
        <f>IF($H323="","",IFERROR(INDEX('Settings'!$J$10:$J$39,MATCH($H323,'Settings'!$I$10:$I$39,0)),""))</f>
        <v/>
      </c>
      <c r="J323" s="6" t="n">
        <v>1</v>
      </c>
      <c r="K323" s="8" t="n">
        <v>300</v>
      </c>
      <c r="L323" s="8" t="n"/>
      <c r="M323" s="14">
        <f>IF($A323="","",$J323*$K323)</f>
        <v/>
      </c>
      <c r="N323" s="14">
        <f>IF($A323="","",$M323-$L323)</f>
        <v/>
      </c>
      <c r="O323" s="4" t="inlineStr">
        <is>
          <t>Card</t>
        </is>
      </c>
      <c r="P323" s="15">
        <f>IF($A323="","",DATE(YEAR($A323),MONTH($A323),1))</f>
        <v/>
      </c>
      <c r="Q323" s="16">
        <f>IF($H323="","",$J323*IFERROR(INDEX('Settings'!$L$10:$L$39,MATCH($H323,'Settings'!$I$10:$I$39,0)),0))</f>
        <v/>
      </c>
      <c r="R323" s="17">
        <f>IF($A323="","",$A323-WEEKDAY($A323,2)+1)</f>
        <v/>
      </c>
    </row>
    <row r="324">
      <c r="A324" s="5" t="n">
        <v>46231</v>
      </c>
      <c r="B324" s="4" t="inlineStr">
        <is>
          <t>Main branch</t>
        </is>
      </c>
      <c r="C324" s="4" t="inlineStr">
        <is>
          <t>Main 2</t>
        </is>
      </c>
      <c r="D324" s="4" t="inlineStr">
        <is>
          <t>Dr Ahmed Mansour</t>
        </is>
      </c>
      <c r="E324" s="4" t="inlineStr">
        <is>
          <t>P-2802</t>
        </is>
      </c>
      <c r="F324" s="4" t="inlineStr">
        <is>
          <t>Returning</t>
        </is>
      </c>
      <c r="G324" s="4" t="inlineStr">
        <is>
          <t>Instagram</t>
        </is>
      </c>
      <c r="H324" s="4" t="inlineStr">
        <is>
          <t>Follow-up visit</t>
        </is>
      </c>
      <c r="I324" s="9">
        <f>IF($H324="","",IFERROR(INDEX('Settings'!$J$10:$J$39,MATCH($H324,'Settings'!$I$10:$I$39,0)),""))</f>
        <v/>
      </c>
      <c r="J324" s="6" t="n">
        <v>1</v>
      </c>
      <c r="K324" s="8" t="n">
        <v>150</v>
      </c>
      <c r="L324" s="8" t="n"/>
      <c r="M324" s="14">
        <f>IF($A324="","",$J324*$K324)</f>
        <v/>
      </c>
      <c r="N324" s="14">
        <f>IF($A324="","",$M324-$L324)</f>
        <v/>
      </c>
      <c r="O324" s="4" t="inlineStr">
        <is>
          <t>Card</t>
        </is>
      </c>
      <c r="P324" s="15">
        <f>IF($A324="","",DATE(YEAR($A324),MONTH($A324),1))</f>
        <v/>
      </c>
      <c r="Q324" s="16">
        <f>IF($H324="","",$J324*IFERROR(INDEX('Settings'!$L$10:$L$39,MATCH($H324,'Settings'!$I$10:$I$39,0)),0))</f>
        <v/>
      </c>
      <c r="R324" s="17">
        <f>IF($A324="","",$A324-WEEKDAY($A324,2)+1)</f>
        <v/>
      </c>
    </row>
    <row r="325">
      <c r="A325" s="5" t="n">
        <v>46231</v>
      </c>
      <c r="B325" s="4" t="inlineStr">
        <is>
          <t>Main branch</t>
        </is>
      </c>
      <c r="C325" s="4" t="inlineStr">
        <is>
          <t>Main 2</t>
        </is>
      </c>
      <c r="D325" s="4" t="inlineStr">
        <is>
          <t>Dr Noura Al Subaie</t>
        </is>
      </c>
      <c r="E325" s="4" t="inlineStr">
        <is>
          <t>P-2874</t>
        </is>
      </c>
      <c r="F325" s="4" t="inlineStr">
        <is>
          <t>Returning</t>
        </is>
      </c>
      <c r="G325" s="4" t="inlineStr">
        <is>
          <t>WhatsApp</t>
        </is>
      </c>
      <c r="H325" s="4" t="inlineStr">
        <is>
          <t>Physiotherapy session</t>
        </is>
      </c>
      <c r="I325" s="9">
        <f>IF($H325="","",IFERROR(INDEX('Settings'!$J$10:$J$39,MATCH($H325,'Settings'!$I$10:$I$39,0)),""))</f>
        <v/>
      </c>
      <c r="J325" s="6" t="n">
        <v>1</v>
      </c>
      <c r="K325" s="8" t="n">
        <v>300</v>
      </c>
      <c r="L325" s="8" t="n"/>
      <c r="M325" s="14">
        <f>IF($A325="","",$J325*$K325)</f>
        <v/>
      </c>
      <c r="N325" s="14">
        <f>IF($A325="","",$M325-$L325)</f>
        <v/>
      </c>
      <c r="O325" s="4" t="inlineStr">
        <is>
          <t>Card</t>
        </is>
      </c>
      <c r="P325" s="15">
        <f>IF($A325="","",DATE(YEAR($A325),MONTH($A325),1))</f>
        <v/>
      </c>
      <c r="Q325" s="16">
        <f>IF($H325="","",$J325*IFERROR(INDEX('Settings'!$L$10:$L$39,MATCH($H325,'Settings'!$I$10:$I$39,0)),0))</f>
        <v/>
      </c>
      <c r="R325" s="17">
        <f>IF($A325="","",$A325-WEEKDAY($A325,2)+1)</f>
        <v/>
      </c>
    </row>
    <row r="326">
      <c r="A326" s="5" t="n">
        <v>46231</v>
      </c>
      <c r="B326" s="4" t="inlineStr">
        <is>
          <t>Main branch</t>
        </is>
      </c>
      <c r="C326" s="4" t="inlineStr">
        <is>
          <t>Main 2</t>
        </is>
      </c>
      <c r="D326" s="4" t="inlineStr">
        <is>
          <t>Dr Ahmed Mansour</t>
        </is>
      </c>
      <c r="E326" s="4" t="inlineStr">
        <is>
          <t>P-2677</t>
        </is>
      </c>
      <c r="F326" s="4" t="inlineStr">
        <is>
          <t>New</t>
        </is>
      </c>
      <c r="G326" s="4" t="inlineStr">
        <is>
          <t>Instagram</t>
        </is>
      </c>
      <c r="H326" s="4" t="inlineStr">
        <is>
          <t>Physiotherapy session</t>
        </is>
      </c>
      <c r="I326" s="9">
        <f>IF($H326="","",IFERROR(INDEX('Settings'!$J$10:$J$39,MATCH($H326,'Settings'!$I$10:$I$39,0)),""))</f>
        <v/>
      </c>
      <c r="J326" s="6" t="n">
        <v>1</v>
      </c>
      <c r="K326" s="8" t="n">
        <v>300</v>
      </c>
      <c r="L326" s="8" t="n"/>
      <c r="M326" s="14">
        <f>IF($A326="","",$J326*$K326)</f>
        <v/>
      </c>
      <c r="N326" s="14">
        <f>IF($A326="","",$M326-$L326)</f>
        <v/>
      </c>
      <c r="O326" s="4" t="inlineStr">
        <is>
          <t>Cash</t>
        </is>
      </c>
      <c r="P326" s="15">
        <f>IF($A326="","",DATE(YEAR($A326),MONTH($A326),1))</f>
        <v/>
      </c>
      <c r="Q326" s="16">
        <f>IF($H326="","",$J326*IFERROR(INDEX('Settings'!$L$10:$L$39,MATCH($H326,'Settings'!$I$10:$I$39,0)),0))</f>
        <v/>
      </c>
      <c r="R326" s="17">
        <f>IF($A326="","",$A326-WEEKDAY($A326,2)+1)</f>
        <v/>
      </c>
    </row>
    <row r="327">
      <c r="A327" s="5" t="n">
        <v>46231</v>
      </c>
      <c r="B327" s="4" t="inlineStr">
        <is>
          <t>Main branch</t>
        </is>
      </c>
      <c r="C327" s="4" t="inlineStr">
        <is>
          <t>Main 3</t>
        </is>
      </c>
      <c r="D327" s="4" t="inlineStr">
        <is>
          <t>Dr Sara Al Harbi</t>
        </is>
      </c>
      <c r="E327" s="4" t="inlineStr">
        <is>
          <t>P-3360</t>
        </is>
      </c>
      <c r="F327" s="4" t="inlineStr">
        <is>
          <t>Returning</t>
        </is>
      </c>
      <c r="G327" s="4" t="inlineStr">
        <is>
          <t>Walk-in</t>
        </is>
      </c>
      <c r="H327" s="4" t="inlineStr">
        <is>
          <t>Physiotherapy session</t>
        </is>
      </c>
      <c r="I327" s="9">
        <f>IF($H327="","",IFERROR(INDEX('Settings'!$J$10:$J$39,MATCH($H327,'Settings'!$I$10:$I$39,0)),""))</f>
        <v/>
      </c>
      <c r="J327" s="6" t="n">
        <v>1</v>
      </c>
      <c r="K327" s="8" t="n">
        <v>300</v>
      </c>
      <c r="L327" s="8" t="n"/>
      <c r="M327" s="14">
        <f>IF($A327="","",$J327*$K327)</f>
        <v/>
      </c>
      <c r="N327" s="14">
        <f>IF($A327="","",$M327-$L327)</f>
        <v/>
      </c>
      <c r="O327" s="4" t="inlineStr">
        <is>
          <t>Card</t>
        </is>
      </c>
      <c r="P327" s="15">
        <f>IF($A327="","",DATE(YEAR($A327),MONTH($A327),1))</f>
        <v/>
      </c>
      <c r="Q327" s="16">
        <f>IF($H327="","",$J327*IFERROR(INDEX('Settings'!$L$10:$L$39,MATCH($H327,'Settings'!$I$10:$I$39,0)),0))</f>
        <v/>
      </c>
      <c r="R327" s="17">
        <f>IF($A327="","",$A327-WEEKDAY($A327,2)+1)</f>
        <v/>
      </c>
    </row>
    <row r="328">
      <c r="A328" s="5" t="n">
        <v>46231</v>
      </c>
      <c r="B328" s="4" t="inlineStr">
        <is>
          <t>Main branch</t>
        </is>
      </c>
      <c r="C328" s="4" t="inlineStr">
        <is>
          <t>Main 3</t>
        </is>
      </c>
      <c r="D328" s="4" t="inlineStr">
        <is>
          <t>Dr Sara Al Harbi</t>
        </is>
      </c>
      <c r="E328" s="4" t="inlineStr">
        <is>
          <t>P-2893</t>
        </is>
      </c>
      <c r="F328" s="4" t="inlineStr">
        <is>
          <t>Returning</t>
        </is>
      </c>
      <c r="G328" s="4" t="inlineStr">
        <is>
          <t>Google</t>
        </is>
      </c>
      <c r="H328" s="4" t="inlineStr">
        <is>
          <t>Laser session, body</t>
        </is>
      </c>
      <c r="I328" s="9">
        <f>IF($H328="","",IFERROR(INDEX('Settings'!$J$10:$J$39,MATCH($H328,'Settings'!$I$10:$I$39,0)),""))</f>
        <v/>
      </c>
      <c r="J328" s="6" t="n">
        <v>1</v>
      </c>
      <c r="K328" s="8" t="n">
        <v>1200</v>
      </c>
      <c r="L328" s="8" t="n"/>
      <c r="M328" s="14">
        <f>IF($A328="","",$J328*$K328)</f>
        <v/>
      </c>
      <c r="N328" s="14">
        <f>IF($A328="","",$M328-$L328)</f>
        <v/>
      </c>
      <c r="O328" s="4" t="inlineStr">
        <is>
          <t>Card</t>
        </is>
      </c>
      <c r="P328" s="15">
        <f>IF($A328="","",DATE(YEAR($A328),MONTH($A328),1))</f>
        <v/>
      </c>
      <c r="Q328" s="16">
        <f>IF($H328="","",$J328*IFERROR(INDEX('Settings'!$L$10:$L$39,MATCH($H328,'Settings'!$I$10:$I$39,0)),0))</f>
        <v/>
      </c>
      <c r="R328" s="17">
        <f>IF($A328="","",$A328-WEEKDAY($A328,2)+1)</f>
        <v/>
      </c>
    </row>
    <row r="329">
      <c r="A329" s="5" t="n">
        <v>46231</v>
      </c>
      <c r="B329" s="4" t="inlineStr">
        <is>
          <t>Main branch</t>
        </is>
      </c>
      <c r="C329" s="4" t="inlineStr">
        <is>
          <t>Main 3</t>
        </is>
      </c>
      <c r="D329" s="4" t="inlineStr">
        <is>
          <t>Dr Sara Al Harbi</t>
        </is>
      </c>
      <c r="E329" s="4" t="inlineStr">
        <is>
          <t>P-3002</t>
        </is>
      </c>
      <c r="F329" s="4" t="inlineStr">
        <is>
          <t>Returning</t>
        </is>
      </c>
      <c r="G329" s="4" t="inlineStr">
        <is>
          <t>Google</t>
        </is>
      </c>
      <c r="H329" s="4" t="inlineStr">
        <is>
          <t>Specialist consultation</t>
        </is>
      </c>
      <c r="I329" s="9">
        <f>IF($H329="","",IFERROR(INDEX('Settings'!$J$10:$J$39,MATCH($H329,'Settings'!$I$10:$I$39,0)),""))</f>
        <v/>
      </c>
      <c r="J329" s="6" t="n">
        <v>1</v>
      </c>
      <c r="K329" s="8" t="n">
        <v>350</v>
      </c>
      <c r="L329" s="8" t="n"/>
      <c r="M329" s="14">
        <f>IF($A329="","",$J329*$K329)</f>
        <v/>
      </c>
      <c r="N329" s="14">
        <f>IF($A329="","",$M329-$L329)</f>
        <v/>
      </c>
      <c r="O329" s="4" t="inlineStr">
        <is>
          <t>Payment link</t>
        </is>
      </c>
      <c r="P329" s="15">
        <f>IF($A329="","",DATE(YEAR($A329),MONTH($A329),1))</f>
        <v/>
      </c>
      <c r="Q329" s="16">
        <f>IF($H329="","",$J329*IFERROR(INDEX('Settings'!$L$10:$L$39,MATCH($H329,'Settings'!$I$10:$I$39,0)),0))</f>
        <v/>
      </c>
      <c r="R329" s="17">
        <f>IF($A329="","",$A329-WEEKDAY($A329,2)+1)</f>
        <v/>
      </c>
    </row>
    <row r="330">
      <c r="A330" s="5" t="n">
        <v>46231</v>
      </c>
      <c r="B330" s="4" t="inlineStr">
        <is>
          <t>Main branch</t>
        </is>
      </c>
      <c r="C330" s="4" t="inlineStr">
        <is>
          <t>Main 3</t>
        </is>
      </c>
      <c r="D330" s="4" t="inlineStr">
        <is>
          <t>Dr Sara Al Harbi</t>
        </is>
      </c>
      <c r="E330" s="4" t="inlineStr">
        <is>
          <t>P-2282</t>
        </is>
      </c>
      <c r="F330" s="4" t="inlineStr">
        <is>
          <t>New</t>
        </is>
      </c>
      <c r="G330" s="4" t="inlineStr">
        <is>
          <t>Instagram</t>
        </is>
      </c>
      <c r="H330" s="4" t="inlineStr">
        <is>
          <t>Specialist consultation</t>
        </is>
      </c>
      <c r="I330" s="9">
        <f>IF($H330="","",IFERROR(INDEX('Settings'!$J$10:$J$39,MATCH($H330,'Settings'!$I$10:$I$39,0)),""))</f>
        <v/>
      </c>
      <c r="J330" s="6" t="n">
        <v>1</v>
      </c>
      <c r="K330" s="8" t="n">
        <v>350</v>
      </c>
      <c r="L330" s="8" t="n"/>
      <c r="M330" s="14">
        <f>IF($A330="","",$J330*$K330)</f>
        <v/>
      </c>
      <c r="N330" s="14">
        <f>IF($A330="","",$M330-$L330)</f>
        <v/>
      </c>
      <c r="O330" s="4" t="inlineStr">
        <is>
          <t>Insurance</t>
        </is>
      </c>
      <c r="P330" s="15">
        <f>IF($A330="","",DATE(YEAR($A330),MONTH($A330),1))</f>
        <v/>
      </c>
      <c r="Q330" s="16">
        <f>IF($H330="","",$J330*IFERROR(INDEX('Settings'!$L$10:$L$39,MATCH($H330,'Settings'!$I$10:$I$39,0)),0))</f>
        <v/>
      </c>
      <c r="R330" s="17">
        <f>IF($A330="","",$A330-WEEKDAY($A330,2)+1)</f>
        <v/>
      </c>
    </row>
    <row r="331">
      <c r="A331" s="5" t="n">
        <v>46231</v>
      </c>
      <c r="B331" s="4" t="inlineStr">
        <is>
          <t>Main branch</t>
        </is>
      </c>
      <c r="C331" s="4" t="inlineStr">
        <is>
          <t>Main 4</t>
        </is>
      </c>
      <c r="D331" s="4" t="inlineStr">
        <is>
          <t>Dr Sara Al Harbi</t>
        </is>
      </c>
      <c r="E331" s="4" t="inlineStr">
        <is>
          <t>P-2734</t>
        </is>
      </c>
      <c r="F331" s="4" t="inlineStr">
        <is>
          <t>New</t>
        </is>
      </c>
      <c r="G331" s="4" t="inlineStr">
        <is>
          <t>WhatsApp</t>
        </is>
      </c>
      <c r="H331" s="4" t="inlineStr">
        <is>
          <t>Sunscreen cream</t>
        </is>
      </c>
      <c r="I331" s="9">
        <f>IF($H331="","",IFERROR(INDEX('Settings'!$J$10:$J$39,MATCH($H331,'Settings'!$I$10:$I$39,0)),""))</f>
        <v/>
      </c>
      <c r="J331" s="6" t="n">
        <v>1</v>
      </c>
      <c r="K331" s="8" t="n">
        <v>120</v>
      </c>
      <c r="L331" s="8" t="n"/>
      <c r="M331" s="14">
        <f>IF($A331="","",$J331*$K331)</f>
        <v/>
      </c>
      <c r="N331" s="14">
        <f>IF($A331="","",$M331-$L331)</f>
        <v/>
      </c>
      <c r="O331" s="4" t="inlineStr">
        <is>
          <t>Transfer</t>
        </is>
      </c>
      <c r="P331" s="15">
        <f>IF($A331="","",DATE(YEAR($A331),MONTH($A331),1))</f>
        <v/>
      </c>
      <c r="Q331" s="16">
        <f>IF($H331="","",$J331*IFERROR(INDEX('Settings'!$L$10:$L$39,MATCH($H331,'Settings'!$I$10:$I$39,0)),0))</f>
        <v/>
      </c>
      <c r="R331" s="17">
        <f>IF($A331="","",$A331-WEEKDAY($A331,2)+1)</f>
        <v/>
      </c>
    </row>
    <row r="332">
      <c r="A332" s="5" t="n">
        <v>46231</v>
      </c>
      <c r="B332" s="4" t="inlineStr">
        <is>
          <t>North branch</t>
        </is>
      </c>
      <c r="C332" s="4" t="inlineStr">
        <is>
          <t>North 1</t>
        </is>
      </c>
      <c r="D332" s="4" t="inlineStr">
        <is>
          <t>Dr Khaled Youssef</t>
        </is>
      </c>
      <c r="E332" s="4" t="inlineStr">
        <is>
          <t>P-3407</t>
        </is>
      </c>
      <c r="F332" s="4" t="inlineStr">
        <is>
          <t>New</t>
        </is>
      </c>
      <c r="G332" s="4" t="inlineStr">
        <is>
          <t>Google</t>
        </is>
      </c>
      <c r="H332" s="4" t="inlineStr">
        <is>
          <t>Botulinum toxin</t>
        </is>
      </c>
      <c r="I332" s="9">
        <f>IF($H332="","",IFERROR(INDEX('Settings'!$J$10:$J$39,MATCH($H332,'Settings'!$I$10:$I$39,0)),""))</f>
        <v/>
      </c>
      <c r="J332" s="6" t="n">
        <v>1</v>
      </c>
      <c r="K332" s="8" t="n">
        <v>1500</v>
      </c>
      <c r="L332" s="8" t="n">
        <v>80</v>
      </c>
      <c r="M332" s="14">
        <f>IF($A332="","",$J332*$K332)</f>
        <v/>
      </c>
      <c r="N332" s="14">
        <f>IF($A332="","",$M332-$L332)</f>
        <v/>
      </c>
      <c r="O332" s="4" t="inlineStr">
        <is>
          <t>Card</t>
        </is>
      </c>
      <c r="P332" s="15">
        <f>IF($A332="","",DATE(YEAR($A332),MONTH($A332),1))</f>
        <v/>
      </c>
      <c r="Q332" s="16">
        <f>IF($H332="","",$J332*IFERROR(INDEX('Settings'!$L$10:$L$39,MATCH($H332,'Settings'!$I$10:$I$39,0)),0))</f>
        <v/>
      </c>
      <c r="R332" s="17">
        <f>IF($A332="","",$A332-WEEKDAY($A332,2)+1)</f>
        <v/>
      </c>
    </row>
    <row r="333">
      <c r="A333" s="5" t="n">
        <v>46231</v>
      </c>
      <c r="B333" s="4" t="inlineStr">
        <is>
          <t>North branch</t>
        </is>
      </c>
      <c r="C333" s="4" t="inlineStr">
        <is>
          <t>North 1</t>
        </is>
      </c>
      <c r="D333" s="4" t="inlineStr">
        <is>
          <t>Dr Mohamed Adel</t>
        </is>
      </c>
      <c r="E333" s="4" t="inlineStr">
        <is>
          <t>P-2292</t>
        </is>
      </c>
      <c r="F333" s="4" t="inlineStr">
        <is>
          <t>New</t>
        </is>
      </c>
      <c r="G333" s="4" t="inlineStr">
        <is>
          <t>Google</t>
        </is>
      </c>
      <c r="H333" s="4" t="inlineStr">
        <is>
          <t>Specialist consultation</t>
        </is>
      </c>
      <c r="I333" s="9">
        <f>IF($H333="","",IFERROR(INDEX('Settings'!$J$10:$J$39,MATCH($H333,'Settings'!$I$10:$I$39,0)),""))</f>
        <v/>
      </c>
      <c r="J333" s="6" t="n">
        <v>1</v>
      </c>
      <c r="K333" s="8" t="n">
        <v>350</v>
      </c>
      <c r="L333" s="8" t="n"/>
      <c r="M333" s="14">
        <f>IF($A333="","",$J333*$K333)</f>
        <v/>
      </c>
      <c r="N333" s="14">
        <f>IF($A333="","",$M333-$L333)</f>
        <v/>
      </c>
      <c r="O333" s="4" t="inlineStr">
        <is>
          <t>Card</t>
        </is>
      </c>
      <c r="P333" s="15">
        <f>IF($A333="","",DATE(YEAR($A333),MONTH($A333),1))</f>
        <v/>
      </c>
      <c r="Q333" s="16">
        <f>IF($H333="","",$J333*IFERROR(INDEX('Settings'!$L$10:$L$39,MATCH($H333,'Settings'!$I$10:$I$39,0)),0))</f>
        <v/>
      </c>
      <c r="R333" s="17">
        <f>IF($A333="","",$A333-WEEKDAY($A333,2)+1)</f>
        <v/>
      </c>
    </row>
    <row r="334">
      <c r="A334" s="5" t="n">
        <v>46231</v>
      </c>
      <c r="B334" s="4" t="inlineStr">
        <is>
          <t>North branch</t>
        </is>
      </c>
      <c r="C334" s="4" t="inlineStr">
        <is>
          <t>North 1</t>
        </is>
      </c>
      <c r="D334" s="4" t="inlineStr">
        <is>
          <t>Dr Khaled Youssef</t>
        </is>
      </c>
      <c r="E334" s="4" t="inlineStr">
        <is>
          <t>P-2952</t>
        </is>
      </c>
      <c r="F334" s="4" t="inlineStr">
        <is>
          <t>Returning</t>
        </is>
      </c>
      <c r="G334" s="4" t="inlineStr">
        <is>
          <t>Google</t>
        </is>
      </c>
      <c r="H334" s="4" t="inlineStr">
        <is>
          <t>Follow-up visit</t>
        </is>
      </c>
      <c r="I334" s="9">
        <f>IF($H334="","",IFERROR(INDEX('Settings'!$J$10:$J$39,MATCH($H334,'Settings'!$I$10:$I$39,0)),""))</f>
        <v/>
      </c>
      <c r="J334" s="6" t="n">
        <v>1</v>
      </c>
      <c r="K334" s="8" t="n">
        <v>150</v>
      </c>
      <c r="L334" s="8" t="n"/>
      <c r="M334" s="14">
        <f>IF($A334="","",$J334*$K334)</f>
        <v/>
      </c>
      <c r="N334" s="14">
        <f>IF($A334="","",$M334-$L334)</f>
        <v/>
      </c>
      <c r="O334" s="4" t="inlineStr">
        <is>
          <t>Card</t>
        </is>
      </c>
      <c r="P334" s="15">
        <f>IF($A334="","",DATE(YEAR($A334),MONTH($A334),1))</f>
        <v/>
      </c>
      <c r="Q334" s="16">
        <f>IF($H334="","",$J334*IFERROR(INDEX('Settings'!$L$10:$L$39,MATCH($H334,'Settings'!$I$10:$I$39,0)),0))</f>
        <v/>
      </c>
      <c r="R334" s="17">
        <f>IF($A334="","",$A334-WEEKDAY($A334,2)+1)</f>
        <v/>
      </c>
    </row>
    <row r="335">
      <c r="A335" s="5" t="n">
        <v>46231</v>
      </c>
      <c r="B335" s="4" t="inlineStr">
        <is>
          <t>North branch</t>
        </is>
      </c>
      <c r="C335" s="4" t="inlineStr">
        <is>
          <t>North 1</t>
        </is>
      </c>
      <c r="D335" s="4" t="inlineStr">
        <is>
          <t>Dr Mohamed Adel</t>
        </is>
      </c>
      <c r="E335" s="4" t="inlineStr">
        <is>
          <t>P-3000</t>
        </is>
      </c>
      <c r="F335" s="4" t="inlineStr">
        <is>
          <t>New</t>
        </is>
      </c>
      <c r="G335" s="4" t="inlineStr">
        <is>
          <t>Instagram</t>
        </is>
      </c>
      <c r="H335" s="4" t="inlineStr">
        <is>
          <t>Laser session, face</t>
        </is>
      </c>
      <c r="I335" s="9">
        <f>IF($H335="","",IFERROR(INDEX('Settings'!$J$10:$J$39,MATCH($H335,'Settings'!$I$10:$I$39,0)),""))</f>
        <v/>
      </c>
      <c r="J335" s="6" t="n">
        <v>1</v>
      </c>
      <c r="K335" s="8" t="n">
        <v>600</v>
      </c>
      <c r="L335" s="8" t="n"/>
      <c r="M335" s="14">
        <f>IF($A335="","",$J335*$K335)</f>
        <v/>
      </c>
      <c r="N335" s="14">
        <f>IF($A335="","",$M335-$L335)</f>
        <v/>
      </c>
      <c r="O335" s="4" t="inlineStr">
        <is>
          <t>Transfer</t>
        </is>
      </c>
      <c r="P335" s="15">
        <f>IF($A335="","",DATE(YEAR($A335),MONTH($A335),1))</f>
        <v/>
      </c>
      <c r="Q335" s="16">
        <f>IF($H335="","",$J335*IFERROR(INDEX('Settings'!$L$10:$L$39,MATCH($H335,'Settings'!$I$10:$I$39,0)),0))</f>
        <v/>
      </c>
      <c r="R335" s="17">
        <f>IF($A335="","",$A335-WEEKDAY($A335,2)+1)</f>
        <v/>
      </c>
    </row>
    <row r="336">
      <c r="A336" s="5" t="n">
        <v>46231</v>
      </c>
      <c r="B336" s="4" t="inlineStr">
        <is>
          <t>North branch</t>
        </is>
      </c>
      <c r="C336" s="4" t="inlineStr">
        <is>
          <t>North 2</t>
        </is>
      </c>
      <c r="D336" s="4" t="inlineStr">
        <is>
          <t>Dr Layla Al Qahtani</t>
        </is>
      </c>
      <c r="E336" s="4" t="inlineStr">
        <is>
          <t>P-2249</t>
        </is>
      </c>
      <c r="F336" s="4" t="inlineStr">
        <is>
          <t>Returning</t>
        </is>
      </c>
      <c r="G336" s="4" t="inlineStr">
        <is>
          <t>Google</t>
        </is>
      </c>
      <c r="H336" s="4" t="inlineStr">
        <is>
          <t>Physiotherapy session</t>
        </is>
      </c>
      <c r="I336" s="9">
        <f>IF($H336="","",IFERROR(INDEX('Settings'!$J$10:$J$39,MATCH($H336,'Settings'!$I$10:$I$39,0)),""))</f>
        <v/>
      </c>
      <c r="J336" s="6" t="n">
        <v>1</v>
      </c>
      <c r="K336" s="8" t="n">
        <v>300</v>
      </c>
      <c r="L336" s="8" t="n"/>
      <c r="M336" s="14">
        <f>IF($A336="","",$J336*$K336)</f>
        <v/>
      </c>
      <c r="N336" s="14">
        <f>IF($A336="","",$M336-$L336)</f>
        <v/>
      </c>
      <c r="O336" s="4" t="inlineStr">
        <is>
          <t>Card</t>
        </is>
      </c>
      <c r="P336" s="15">
        <f>IF($A336="","",DATE(YEAR($A336),MONTH($A336),1))</f>
        <v/>
      </c>
      <c r="Q336" s="16">
        <f>IF($H336="","",$J336*IFERROR(INDEX('Settings'!$L$10:$L$39,MATCH($H336,'Settings'!$I$10:$I$39,0)),0))</f>
        <v/>
      </c>
      <c r="R336" s="17">
        <f>IF($A336="","",$A336-WEEKDAY($A336,2)+1)</f>
        <v/>
      </c>
    </row>
    <row r="337">
      <c r="A337" s="5" t="n">
        <v>46231</v>
      </c>
      <c r="B337" s="4" t="inlineStr">
        <is>
          <t>North branch</t>
        </is>
      </c>
      <c r="C337" s="4" t="inlineStr">
        <is>
          <t>North 2</t>
        </is>
      </c>
      <c r="D337" s="4" t="inlineStr">
        <is>
          <t>Dr Mohamed Adel</t>
        </is>
      </c>
      <c r="E337" s="4" t="inlineStr">
        <is>
          <t>P-2404</t>
        </is>
      </c>
      <c r="F337" s="4" t="inlineStr">
        <is>
          <t>Returning</t>
        </is>
      </c>
      <c r="G337" s="4" t="inlineStr">
        <is>
          <t>Instagram</t>
        </is>
      </c>
      <c r="H337" s="4" t="inlineStr">
        <is>
          <t>Specialist consultation</t>
        </is>
      </c>
      <c r="I337" s="9">
        <f>IF($H337="","",IFERROR(INDEX('Settings'!$J$10:$J$39,MATCH($H337,'Settings'!$I$10:$I$39,0)),""))</f>
        <v/>
      </c>
      <c r="J337" s="6" t="n">
        <v>1</v>
      </c>
      <c r="K337" s="8" t="n">
        <v>350</v>
      </c>
      <c r="L337" s="8" t="n"/>
      <c r="M337" s="14">
        <f>IF($A337="","",$J337*$K337)</f>
        <v/>
      </c>
      <c r="N337" s="14">
        <f>IF($A337="","",$M337-$L337)</f>
        <v/>
      </c>
      <c r="O337" s="4" t="inlineStr">
        <is>
          <t>Payment link</t>
        </is>
      </c>
      <c r="P337" s="15">
        <f>IF($A337="","",DATE(YEAR($A337),MONTH($A337),1))</f>
        <v/>
      </c>
      <c r="Q337" s="16">
        <f>IF($H337="","",$J337*IFERROR(INDEX('Settings'!$L$10:$L$39,MATCH($H337,'Settings'!$I$10:$I$39,0)),0))</f>
        <v/>
      </c>
      <c r="R337" s="17">
        <f>IF($A337="","",$A337-WEEKDAY($A337,2)+1)</f>
        <v/>
      </c>
    </row>
    <row r="338">
      <c r="A338" s="5" t="n">
        <v>46231</v>
      </c>
      <c r="B338" s="4" t="inlineStr">
        <is>
          <t>North branch</t>
        </is>
      </c>
      <c r="C338" s="4" t="inlineStr">
        <is>
          <t>North 2</t>
        </is>
      </c>
      <c r="D338" s="4" t="inlineStr">
        <is>
          <t>Dr Mohamed Adel</t>
        </is>
      </c>
      <c r="E338" s="4" t="inlineStr">
        <is>
          <t>P-2871</t>
        </is>
      </c>
      <c r="F338" s="4" t="inlineStr">
        <is>
          <t>Returning</t>
        </is>
      </c>
      <c r="G338" s="4" t="inlineStr">
        <is>
          <t>Instagram</t>
        </is>
      </c>
      <c r="H338" s="4" t="inlineStr">
        <is>
          <t>Laser session, face</t>
        </is>
      </c>
      <c r="I338" s="9">
        <f>IF($H338="","",IFERROR(INDEX('Settings'!$J$10:$J$39,MATCH($H338,'Settings'!$I$10:$I$39,0)),""))</f>
        <v/>
      </c>
      <c r="J338" s="6" t="n">
        <v>1</v>
      </c>
      <c r="K338" s="8" t="n">
        <v>600</v>
      </c>
      <c r="L338" s="8" t="n"/>
      <c r="M338" s="14">
        <f>IF($A338="","",$J338*$K338)</f>
        <v/>
      </c>
      <c r="N338" s="14">
        <f>IF($A338="","",$M338-$L338)</f>
        <v/>
      </c>
      <c r="O338" s="4" t="inlineStr">
        <is>
          <t>Payment link</t>
        </is>
      </c>
      <c r="P338" s="15">
        <f>IF($A338="","",DATE(YEAR($A338),MONTH($A338),1))</f>
        <v/>
      </c>
      <c r="Q338" s="16">
        <f>IF($H338="","",$J338*IFERROR(INDEX('Settings'!$L$10:$L$39,MATCH($H338,'Settings'!$I$10:$I$39,0)),0))</f>
        <v/>
      </c>
      <c r="R338" s="17">
        <f>IF($A338="","",$A338-WEEKDAY($A338,2)+1)</f>
        <v/>
      </c>
    </row>
    <row r="339">
      <c r="A339" s="5" t="n">
        <v>46232</v>
      </c>
      <c r="B339" s="4" t="inlineStr">
        <is>
          <t>Main branch</t>
        </is>
      </c>
      <c r="C339" s="4" t="inlineStr">
        <is>
          <t>Main 2</t>
        </is>
      </c>
      <c r="D339" s="4" t="inlineStr">
        <is>
          <t>Dr Sara Al Harbi</t>
        </is>
      </c>
      <c r="E339" s="4" t="inlineStr">
        <is>
          <t>P-3264</t>
        </is>
      </c>
      <c r="F339" s="4" t="inlineStr">
        <is>
          <t>New</t>
        </is>
      </c>
      <c r="G339" s="4" t="inlineStr">
        <is>
          <t>Instagram</t>
        </is>
      </c>
      <c r="H339" s="4" t="inlineStr">
        <is>
          <t>Laser session, face</t>
        </is>
      </c>
      <c r="I339" s="9">
        <f>IF($H339="","",IFERROR(INDEX('Settings'!$J$10:$J$39,MATCH($H339,'Settings'!$I$10:$I$39,0)),""))</f>
        <v/>
      </c>
      <c r="J339" s="6" t="n">
        <v>1</v>
      </c>
      <c r="K339" s="8" t="n">
        <v>600</v>
      </c>
      <c r="L339" s="8" t="n"/>
      <c r="M339" s="14">
        <f>IF($A339="","",$J339*$K339)</f>
        <v/>
      </c>
      <c r="N339" s="14">
        <f>IF($A339="","",$M339-$L339)</f>
        <v/>
      </c>
      <c r="O339" s="4" t="inlineStr">
        <is>
          <t>Payment link</t>
        </is>
      </c>
      <c r="P339" s="15">
        <f>IF($A339="","",DATE(YEAR($A339),MONTH($A339),1))</f>
        <v/>
      </c>
      <c r="Q339" s="16">
        <f>IF($H339="","",$J339*IFERROR(INDEX('Settings'!$L$10:$L$39,MATCH($H339,'Settings'!$I$10:$I$39,0)),0))</f>
        <v/>
      </c>
      <c r="R339" s="17">
        <f>IF($A339="","",$A339-WEEKDAY($A339,2)+1)</f>
        <v/>
      </c>
    </row>
    <row r="340">
      <c r="A340" s="5" t="n">
        <v>46232</v>
      </c>
      <c r="B340" s="4" t="inlineStr">
        <is>
          <t>Main branch</t>
        </is>
      </c>
      <c r="C340" s="4" t="inlineStr">
        <is>
          <t>Main 3</t>
        </is>
      </c>
      <c r="D340" s="4" t="inlineStr">
        <is>
          <t>Dr Ahmed Mansour</t>
        </is>
      </c>
      <c r="E340" s="4" t="inlineStr">
        <is>
          <t>P-2969</t>
        </is>
      </c>
      <c r="F340" s="4" t="inlineStr">
        <is>
          <t>New</t>
        </is>
      </c>
      <c r="G340" s="4" t="inlineStr">
        <is>
          <t>Google</t>
        </is>
      </c>
      <c r="H340" s="4" t="inlineStr">
        <is>
          <t>Follow-up visit</t>
        </is>
      </c>
      <c r="I340" s="9">
        <f>IF($H340="","",IFERROR(INDEX('Settings'!$J$10:$J$39,MATCH($H340,'Settings'!$I$10:$I$39,0)),""))</f>
        <v/>
      </c>
      <c r="J340" s="6" t="n">
        <v>1</v>
      </c>
      <c r="K340" s="8" t="n">
        <v>150</v>
      </c>
      <c r="L340" s="8" t="n"/>
      <c r="M340" s="14">
        <f>IF($A340="","",$J340*$K340)</f>
        <v/>
      </c>
      <c r="N340" s="14">
        <f>IF($A340="","",$M340-$L340)</f>
        <v/>
      </c>
      <c r="O340" s="4" t="inlineStr">
        <is>
          <t>Cash</t>
        </is>
      </c>
      <c r="P340" s="15">
        <f>IF($A340="","",DATE(YEAR($A340),MONTH($A340),1))</f>
        <v/>
      </c>
      <c r="Q340" s="16">
        <f>IF($H340="","",$J340*IFERROR(INDEX('Settings'!$L$10:$L$39,MATCH($H340,'Settings'!$I$10:$I$39,0)),0))</f>
        <v/>
      </c>
      <c r="R340" s="17">
        <f>IF($A340="","",$A340-WEEKDAY($A340,2)+1)</f>
        <v/>
      </c>
    </row>
    <row r="341">
      <c r="A341" s="5" t="n">
        <v>46232</v>
      </c>
      <c r="B341" s="4" t="inlineStr">
        <is>
          <t>Main branch</t>
        </is>
      </c>
      <c r="C341" s="4" t="inlineStr">
        <is>
          <t>Main 3</t>
        </is>
      </c>
      <c r="D341" s="4" t="inlineStr">
        <is>
          <t>Dr Noura Al Subaie</t>
        </is>
      </c>
      <c r="E341" s="4" t="inlineStr">
        <is>
          <t>P-2930</t>
        </is>
      </c>
      <c r="F341" s="4" t="inlineStr">
        <is>
          <t>New</t>
        </is>
      </c>
      <c r="G341" s="4" t="inlineStr">
        <is>
          <t>Walk-in</t>
        </is>
      </c>
      <c r="H341" s="4" t="inlineStr">
        <is>
          <t>Physiotherapy session</t>
        </is>
      </c>
      <c r="I341" s="9">
        <f>IF($H341="","",IFERROR(INDEX('Settings'!$J$10:$J$39,MATCH($H341,'Settings'!$I$10:$I$39,0)),""))</f>
        <v/>
      </c>
      <c r="J341" s="6" t="n">
        <v>1</v>
      </c>
      <c r="K341" s="8" t="n">
        <v>300</v>
      </c>
      <c r="L341" s="8" t="n"/>
      <c r="M341" s="14">
        <f>IF($A341="","",$J341*$K341)</f>
        <v/>
      </c>
      <c r="N341" s="14">
        <f>IF($A341="","",$M341-$L341)</f>
        <v/>
      </c>
      <c r="O341" s="4" t="inlineStr">
        <is>
          <t>Transfer</t>
        </is>
      </c>
      <c r="P341" s="15">
        <f>IF($A341="","",DATE(YEAR($A341),MONTH($A341),1))</f>
        <v/>
      </c>
      <c r="Q341" s="16">
        <f>IF($H341="","",$J341*IFERROR(INDEX('Settings'!$L$10:$L$39,MATCH($H341,'Settings'!$I$10:$I$39,0)),0))</f>
        <v/>
      </c>
      <c r="R341" s="17">
        <f>IF($A341="","",$A341-WEEKDAY($A341,2)+1)</f>
        <v/>
      </c>
    </row>
    <row r="342">
      <c r="A342" s="5" t="n">
        <v>46232</v>
      </c>
      <c r="B342" s="4" t="inlineStr">
        <is>
          <t>Main branch</t>
        </is>
      </c>
      <c r="C342" s="4" t="inlineStr">
        <is>
          <t>Main 4</t>
        </is>
      </c>
      <c r="D342" s="4" t="inlineStr">
        <is>
          <t>Dr Sara Al Harbi</t>
        </is>
      </c>
      <c r="E342" s="4" t="inlineStr">
        <is>
          <t>P-2702</t>
        </is>
      </c>
      <c r="F342" s="4" t="inlineStr">
        <is>
          <t>Returning</t>
        </is>
      </c>
      <c r="G342" s="4" t="inlineStr">
        <is>
          <t>Google</t>
        </is>
      </c>
      <c r="H342" s="4" t="inlineStr">
        <is>
          <t>Facial cleansing</t>
        </is>
      </c>
      <c r="I342" s="9">
        <f>IF($H342="","",IFERROR(INDEX('Settings'!$J$10:$J$39,MATCH($H342,'Settings'!$I$10:$I$39,0)),""))</f>
        <v/>
      </c>
      <c r="J342" s="6" t="n">
        <v>1</v>
      </c>
      <c r="K342" s="8" t="n">
        <v>400</v>
      </c>
      <c r="L342" s="8" t="n"/>
      <c r="M342" s="14">
        <f>IF($A342="","",$J342*$K342)</f>
        <v/>
      </c>
      <c r="N342" s="14">
        <f>IF($A342="","",$M342-$L342)</f>
        <v/>
      </c>
      <c r="O342" s="4" t="inlineStr">
        <is>
          <t>Cash</t>
        </is>
      </c>
      <c r="P342" s="15">
        <f>IF($A342="","",DATE(YEAR($A342),MONTH($A342),1))</f>
        <v/>
      </c>
      <c r="Q342" s="16">
        <f>IF($H342="","",$J342*IFERROR(INDEX('Settings'!$L$10:$L$39,MATCH($H342,'Settings'!$I$10:$I$39,0)),0))</f>
        <v/>
      </c>
      <c r="R342" s="17">
        <f>IF($A342="","",$A342-WEEKDAY($A342,2)+1)</f>
        <v/>
      </c>
    </row>
    <row r="343">
      <c r="A343" s="5" t="n">
        <v>46232</v>
      </c>
      <c r="B343" s="4" t="inlineStr">
        <is>
          <t>North branch</t>
        </is>
      </c>
      <c r="C343" s="4" t="inlineStr">
        <is>
          <t>North 1</t>
        </is>
      </c>
      <c r="D343" s="4" t="inlineStr">
        <is>
          <t>Dr Layla Al Qahtani</t>
        </is>
      </c>
      <c r="E343" s="4" t="inlineStr">
        <is>
          <t>P-2199</t>
        </is>
      </c>
      <c r="F343" s="4" t="inlineStr">
        <is>
          <t>Returning</t>
        </is>
      </c>
      <c r="G343" s="4" t="inlineStr">
        <is>
          <t>Instagram</t>
        </is>
      </c>
      <c r="H343" s="4" t="inlineStr">
        <is>
          <t>Laser session, body</t>
        </is>
      </c>
      <c r="I343" s="9">
        <f>IF($H343="","",IFERROR(INDEX('Settings'!$J$10:$J$39,MATCH($H343,'Settings'!$I$10:$I$39,0)),""))</f>
        <v/>
      </c>
      <c r="J343" s="6" t="n">
        <v>1</v>
      </c>
      <c r="K343" s="8" t="n">
        <v>1200</v>
      </c>
      <c r="L343" s="8" t="n"/>
      <c r="M343" s="14">
        <f>IF($A343="","",$J343*$K343)</f>
        <v/>
      </c>
      <c r="N343" s="14">
        <f>IF($A343="","",$M343-$L343)</f>
        <v/>
      </c>
      <c r="O343" s="4" t="inlineStr">
        <is>
          <t>Cash</t>
        </is>
      </c>
      <c r="P343" s="15">
        <f>IF($A343="","",DATE(YEAR($A343),MONTH($A343),1))</f>
        <v/>
      </c>
      <c r="Q343" s="16">
        <f>IF($H343="","",$J343*IFERROR(INDEX('Settings'!$L$10:$L$39,MATCH($H343,'Settings'!$I$10:$I$39,0)),0))</f>
        <v/>
      </c>
      <c r="R343" s="17">
        <f>IF($A343="","",$A343-WEEKDAY($A343,2)+1)</f>
        <v/>
      </c>
    </row>
    <row r="344">
      <c r="A344" s="5" t="n">
        <v>46232</v>
      </c>
      <c r="B344" s="4" t="inlineStr">
        <is>
          <t>North branch</t>
        </is>
      </c>
      <c r="C344" s="4" t="inlineStr">
        <is>
          <t>North 1</t>
        </is>
      </c>
      <c r="D344" s="4" t="inlineStr">
        <is>
          <t>Dr Khaled Youssef</t>
        </is>
      </c>
      <c r="E344" s="4" t="inlineStr">
        <is>
          <t>P-2264</t>
        </is>
      </c>
      <c r="F344" s="4" t="inlineStr">
        <is>
          <t>Returning</t>
        </is>
      </c>
      <c r="G344" s="4" t="inlineStr">
        <is>
          <t>Walk-in</t>
        </is>
      </c>
      <c r="H344" s="4" t="inlineStr">
        <is>
          <t>Vitamin C serum</t>
        </is>
      </c>
      <c r="I344" s="9">
        <f>IF($H344="","",IFERROR(INDEX('Settings'!$J$10:$J$39,MATCH($H344,'Settings'!$I$10:$I$39,0)),""))</f>
        <v/>
      </c>
      <c r="J344" s="6" t="n">
        <v>1</v>
      </c>
      <c r="K344" s="8" t="n">
        <v>220</v>
      </c>
      <c r="L344" s="8" t="n"/>
      <c r="M344" s="14">
        <f>IF($A344="","",$J344*$K344)</f>
        <v/>
      </c>
      <c r="N344" s="14">
        <f>IF($A344="","",$M344-$L344)</f>
        <v/>
      </c>
      <c r="O344" s="4" t="inlineStr">
        <is>
          <t>Card</t>
        </is>
      </c>
      <c r="P344" s="15">
        <f>IF($A344="","",DATE(YEAR($A344),MONTH($A344),1))</f>
        <v/>
      </c>
      <c r="Q344" s="16">
        <f>IF($H344="","",$J344*IFERROR(INDEX('Settings'!$L$10:$L$39,MATCH($H344,'Settings'!$I$10:$I$39,0)),0))</f>
        <v/>
      </c>
      <c r="R344" s="17">
        <f>IF($A344="","",$A344-WEEKDAY($A344,2)+1)</f>
        <v/>
      </c>
    </row>
    <row r="345">
      <c r="A345" s="5" t="n">
        <v>46232</v>
      </c>
      <c r="B345" s="4" t="inlineStr">
        <is>
          <t>North branch</t>
        </is>
      </c>
      <c r="C345" s="4" t="inlineStr">
        <is>
          <t>North 1</t>
        </is>
      </c>
      <c r="D345" s="4" t="inlineStr">
        <is>
          <t>Dr Mohamed Adel</t>
        </is>
      </c>
      <c r="E345" s="4" t="inlineStr">
        <is>
          <t>P-2942</t>
        </is>
      </c>
      <c r="F345" s="4" t="inlineStr">
        <is>
          <t>Returning</t>
        </is>
      </c>
      <c r="G345" s="4" t="inlineStr">
        <is>
          <t>Instagram</t>
        </is>
      </c>
      <c r="H345" s="4" t="inlineStr">
        <is>
          <t>Filler injection</t>
        </is>
      </c>
      <c r="I345" s="9">
        <f>IF($H345="","",IFERROR(INDEX('Settings'!$J$10:$J$39,MATCH($H345,'Settings'!$I$10:$I$39,0)),""))</f>
        <v/>
      </c>
      <c r="J345" s="6" t="n">
        <v>1</v>
      </c>
      <c r="K345" s="8" t="n">
        <v>1800</v>
      </c>
      <c r="L345" s="8" t="n"/>
      <c r="M345" s="14">
        <f>IF($A345="","",$J345*$K345)</f>
        <v/>
      </c>
      <c r="N345" s="14">
        <f>IF($A345="","",$M345-$L345)</f>
        <v/>
      </c>
      <c r="O345" s="4" t="inlineStr">
        <is>
          <t>Cash</t>
        </is>
      </c>
      <c r="P345" s="15">
        <f>IF($A345="","",DATE(YEAR($A345),MONTH($A345),1))</f>
        <v/>
      </c>
      <c r="Q345" s="16">
        <f>IF($H345="","",$J345*IFERROR(INDEX('Settings'!$L$10:$L$39,MATCH($H345,'Settings'!$I$10:$I$39,0)),0))</f>
        <v/>
      </c>
      <c r="R345" s="17">
        <f>IF($A345="","",$A345-WEEKDAY($A345,2)+1)</f>
        <v/>
      </c>
    </row>
    <row r="346">
      <c r="A346" s="5" t="n">
        <v>46232</v>
      </c>
      <c r="B346" s="4" t="inlineStr">
        <is>
          <t>North branch</t>
        </is>
      </c>
      <c r="C346" s="4" t="inlineStr">
        <is>
          <t>North 1</t>
        </is>
      </c>
      <c r="D346" s="4" t="inlineStr">
        <is>
          <t>Dr Mohamed Adel</t>
        </is>
      </c>
      <c r="E346" s="4" t="inlineStr">
        <is>
          <t>P-2322</t>
        </is>
      </c>
      <c r="F346" s="4" t="inlineStr">
        <is>
          <t>Returning</t>
        </is>
      </c>
      <c r="G346" s="4" t="inlineStr">
        <is>
          <t>Instagram</t>
        </is>
      </c>
      <c r="H346" s="4" t="inlineStr">
        <is>
          <t>Vitamin C serum</t>
        </is>
      </c>
      <c r="I346" s="9">
        <f>IF($H346="","",IFERROR(INDEX('Settings'!$J$10:$J$39,MATCH($H346,'Settings'!$I$10:$I$39,0)),""))</f>
        <v/>
      </c>
      <c r="J346" s="6" t="n">
        <v>1</v>
      </c>
      <c r="K346" s="8" t="n">
        <v>220</v>
      </c>
      <c r="L346" s="8" t="n"/>
      <c r="M346" s="14">
        <f>IF($A346="","",$J346*$K346)</f>
        <v/>
      </c>
      <c r="N346" s="14">
        <f>IF($A346="","",$M346-$L346)</f>
        <v/>
      </c>
      <c r="O346" s="4" t="inlineStr">
        <is>
          <t>Insurance</t>
        </is>
      </c>
      <c r="P346" s="15">
        <f>IF($A346="","",DATE(YEAR($A346),MONTH($A346),1))</f>
        <v/>
      </c>
      <c r="Q346" s="16">
        <f>IF($H346="","",$J346*IFERROR(INDEX('Settings'!$L$10:$L$39,MATCH($H346,'Settings'!$I$10:$I$39,0)),0))</f>
        <v/>
      </c>
      <c r="R346" s="17">
        <f>IF($A346="","",$A346-WEEKDAY($A346,2)+1)</f>
        <v/>
      </c>
    </row>
    <row r="347">
      <c r="A347" s="5" t="n">
        <v>46233</v>
      </c>
      <c r="B347" s="4" t="inlineStr">
        <is>
          <t>Main branch</t>
        </is>
      </c>
      <c r="C347" s="4" t="inlineStr">
        <is>
          <t>Main 1</t>
        </is>
      </c>
      <c r="D347" s="4" t="inlineStr">
        <is>
          <t>Dr Sara Al Harbi</t>
        </is>
      </c>
      <c r="E347" s="4" t="inlineStr">
        <is>
          <t>P-2760</t>
        </is>
      </c>
      <c r="F347" s="4" t="inlineStr">
        <is>
          <t>Returning</t>
        </is>
      </c>
      <c r="G347" s="4" t="inlineStr">
        <is>
          <t>WhatsApp</t>
        </is>
      </c>
      <c r="H347" s="4" t="inlineStr">
        <is>
          <t>Follow-up visit</t>
        </is>
      </c>
      <c r="I347" s="9">
        <f>IF($H347="","",IFERROR(INDEX('Settings'!$J$10:$J$39,MATCH($H347,'Settings'!$I$10:$I$39,0)),""))</f>
        <v/>
      </c>
      <c r="J347" s="6" t="n">
        <v>1</v>
      </c>
      <c r="K347" s="8" t="n">
        <v>150</v>
      </c>
      <c r="L347" s="8" t="n"/>
      <c r="M347" s="14">
        <f>IF($A347="","",$J347*$K347)</f>
        <v/>
      </c>
      <c r="N347" s="14">
        <f>IF($A347="","",$M347-$L347)</f>
        <v/>
      </c>
      <c r="O347" s="4" t="inlineStr">
        <is>
          <t>Card</t>
        </is>
      </c>
      <c r="P347" s="15">
        <f>IF($A347="","",DATE(YEAR($A347),MONTH($A347),1))</f>
        <v/>
      </c>
      <c r="Q347" s="16">
        <f>IF($H347="","",$J347*IFERROR(INDEX('Settings'!$L$10:$L$39,MATCH($H347,'Settings'!$I$10:$I$39,0)),0))</f>
        <v/>
      </c>
      <c r="R347" s="17">
        <f>IF($A347="","",$A347-WEEKDAY($A347,2)+1)</f>
        <v/>
      </c>
    </row>
    <row r="348">
      <c r="A348" s="5" t="n">
        <v>46233</v>
      </c>
      <c r="B348" s="4" t="inlineStr">
        <is>
          <t>Main branch</t>
        </is>
      </c>
      <c r="C348" s="4" t="inlineStr">
        <is>
          <t>Main 1</t>
        </is>
      </c>
      <c r="D348" s="4" t="inlineStr">
        <is>
          <t>Dr Noura Al Subaie</t>
        </is>
      </c>
      <c r="E348" s="4" t="inlineStr">
        <is>
          <t>P-3159</t>
        </is>
      </c>
      <c r="F348" s="4" t="inlineStr">
        <is>
          <t>Returning</t>
        </is>
      </c>
      <c r="G348" s="4" t="inlineStr">
        <is>
          <t>Instagram</t>
        </is>
      </c>
      <c r="H348" s="4" t="inlineStr">
        <is>
          <t>Specialist consultation</t>
        </is>
      </c>
      <c r="I348" s="9">
        <f>IF($H348="","",IFERROR(INDEX('Settings'!$J$10:$J$39,MATCH($H348,'Settings'!$I$10:$I$39,0)),""))</f>
        <v/>
      </c>
      <c r="J348" s="6" t="n">
        <v>1</v>
      </c>
      <c r="K348" s="8" t="n">
        <v>350</v>
      </c>
      <c r="L348" s="8" t="n"/>
      <c r="M348" s="14">
        <f>IF($A348="","",$J348*$K348)</f>
        <v/>
      </c>
      <c r="N348" s="14">
        <f>IF($A348="","",$M348-$L348)</f>
        <v/>
      </c>
      <c r="O348" s="4" t="inlineStr">
        <is>
          <t>Card</t>
        </is>
      </c>
      <c r="P348" s="15">
        <f>IF($A348="","",DATE(YEAR($A348),MONTH($A348),1))</f>
        <v/>
      </c>
      <c r="Q348" s="16">
        <f>IF($H348="","",$J348*IFERROR(INDEX('Settings'!$L$10:$L$39,MATCH($H348,'Settings'!$I$10:$I$39,0)),0))</f>
        <v/>
      </c>
      <c r="R348" s="17">
        <f>IF($A348="","",$A348-WEEKDAY($A348,2)+1)</f>
        <v/>
      </c>
    </row>
    <row r="349">
      <c r="A349" s="5" t="n">
        <v>46233</v>
      </c>
      <c r="B349" s="4" t="inlineStr">
        <is>
          <t>Main branch</t>
        </is>
      </c>
      <c r="C349" s="4" t="inlineStr">
        <is>
          <t>Main 2</t>
        </is>
      </c>
      <c r="D349" s="4" t="inlineStr">
        <is>
          <t>Dr Sara Al Harbi</t>
        </is>
      </c>
      <c r="E349" s="4" t="inlineStr">
        <is>
          <t>P-3093</t>
        </is>
      </c>
      <c r="F349" s="4" t="inlineStr">
        <is>
          <t>New</t>
        </is>
      </c>
      <c r="G349" s="4" t="inlineStr">
        <is>
          <t>Instagram</t>
        </is>
      </c>
      <c r="H349" s="4" t="inlineStr">
        <is>
          <t>Vitamin C serum</t>
        </is>
      </c>
      <c r="I349" s="9">
        <f>IF($H349="","",IFERROR(INDEX('Settings'!$J$10:$J$39,MATCH($H349,'Settings'!$I$10:$I$39,0)),""))</f>
        <v/>
      </c>
      <c r="J349" s="6" t="n">
        <v>1</v>
      </c>
      <c r="K349" s="8" t="n">
        <v>220</v>
      </c>
      <c r="L349" s="8" t="n">
        <v>20</v>
      </c>
      <c r="M349" s="14">
        <f>IF($A349="","",$J349*$K349)</f>
        <v/>
      </c>
      <c r="N349" s="14">
        <f>IF($A349="","",$M349-$L349)</f>
        <v/>
      </c>
      <c r="O349" s="4" t="inlineStr">
        <is>
          <t>Cash</t>
        </is>
      </c>
      <c r="P349" s="15">
        <f>IF($A349="","",DATE(YEAR($A349),MONTH($A349),1))</f>
        <v/>
      </c>
      <c r="Q349" s="16">
        <f>IF($H349="","",$J349*IFERROR(INDEX('Settings'!$L$10:$L$39,MATCH($H349,'Settings'!$I$10:$I$39,0)),0))</f>
        <v/>
      </c>
      <c r="R349" s="17">
        <f>IF($A349="","",$A349-WEEKDAY($A349,2)+1)</f>
        <v/>
      </c>
    </row>
    <row r="350">
      <c r="A350" s="5" t="n">
        <v>46233</v>
      </c>
      <c r="B350" s="4" t="inlineStr">
        <is>
          <t>Main branch</t>
        </is>
      </c>
      <c r="C350" s="4" t="inlineStr">
        <is>
          <t>Main 2</t>
        </is>
      </c>
      <c r="D350" s="4" t="inlineStr">
        <is>
          <t>Dr Sara Al Harbi</t>
        </is>
      </c>
      <c r="E350" s="4" t="inlineStr">
        <is>
          <t>P-2308</t>
        </is>
      </c>
      <c r="F350" s="4" t="inlineStr">
        <is>
          <t>Returning</t>
        </is>
      </c>
      <c r="G350" s="4" t="inlineStr">
        <is>
          <t>Google</t>
        </is>
      </c>
      <c r="H350" s="4" t="inlineStr">
        <is>
          <t>Specialist consultation</t>
        </is>
      </c>
      <c r="I350" s="9">
        <f>IF($H350="","",IFERROR(INDEX('Settings'!$J$10:$J$39,MATCH($H350,'Settings'!$I$10:$I$39,0)),""))</f>
        <v/>
      </c>
      <c r="J350" s="6" t="n">
        <v>1</v>
      </c>
      <c r="K350" s="8" t="n">
        <v>350</v>
      </c>
      <c r="L350" s="8" t="n"/>
      <c r="M350" s="14">
        <f>IF($A350="","",$J350*$K350)</f>
        <v/>
      </c>
      <c r="N350" s="14">
        <f>IF($A350="","",$M350-$L350)</f>
        <v/>
      </c>
      <c r="O350" s="4" t="inlineStr">
        <is>
          <t>Card</t>
        </is>
      </c>
      <c r="P350" s="15">
        <f>IF($A350="","",DATE(YEAR($A350),MONTH($A350),1))</f>
        <v/>
      </c>
      <c r="Q350" s="16">
        <f>IF($H350="","",$J350*IFERROR(INDEX('Settings'!$L$10:$L$39,MATCH($H350,'Settings'!$I$10:$I$39,0)),0))</f>
        <v/>
      </c>
      <c r="R350" s="17">
        <f>IF($A350="","",$A350-WEEKDAY($A350,2)+1)</f>
        <v/>
      </c>
    </row>
    <row r="351">
      <c r="A351" s="5" t="n">
        <v>46233</v>
      </c>
      <c r="B351" s="4" t="inlineStr">
        <is>
          <t>Main branch</t>
        </is>
      </c>
      <c r="C351" s="4" t="inlineStr">
        <is>
          <t>Main 2</t>
        </is>
      </c>
      <c r="D351" s="4" t="inlineStr">
        <is>
          <t>Dr Sara Al Harbi</t>
        </is>
      </c>
      <c r="E351" s="4" t="inlineStr">
        <is>
          <t>P-2432</t>
        </is>
      </c>
      <c r="F351" s="4" t="inlineStr">
        <is>
          <t>Returning</t>
        </is>
      </c>
      <c r="G351" s="4" t="inlineStr">
        <is>
          <t>Instagram</t>
        </is>
      </c>
      <c r="H351" s="4" t="inlineStr">
        <is>
          <t>Filler injection</t>
        </is>
      </c>
      <c r="I351" s="9">
        <f>IF($H351="","",IFERROR(INDEX('Settings'!$J$10:$J$39,MATCH($H351,'Settings'!$I$10:$I$39,0)),""))</f>
        <v/>
      </c>
      <c r="J351" s="6" t="n">
        <v>1</v>
      </c>
      <c r="K351" s="8" t="n">
        <v>1800</v>
      </c>
      <c r="L351" s="8" t="n"/>
      <c r="M351" s="14">
        <f>IF($A351="","",$J351*$K351)</f>
        <v/>
      </c>
      <c r="N351" s="14">
        <f>IF($A351="","",$M351-$L351)</f>
        <v/>
      </c>
      <c r="O351" s="4" t="inlineStr">
        <is>
          <t>Cash</t>
        </is>
      </c>
      <c r="P351" s="15">
        <f>IF($A351="","",DATE(YEAR($A351),MONTH($A351),1))</f>
        <v/>
      </c>
      <c r="Q351" s="16">
        <f>IF($H351="","",$J351*IFERROR(INDEX('Settings'!$L$10:$L$39,MATCH($H351,'Settings'!$I$10:$I$39,0)),0))</f>
        <v/>
      </c>
      <c r="R351" s="17">
        <f>IF($A351="","",$A351-WEEKDAY($A351,2)+1)</f>
        <v/>
      </c>
    </row>
    <row r="352">
      <c r="A352" s="5" t="n">
        <v>46233</v>
      </c>
      <c r="B352" s="4" t="inlineStr">
        <is>
          <t>Main branch</t>
        </is>
      </c>
      <c r="C352" s="4" t="inlineStr">
        <is>
          <t>Main 4</t>
        </is>
      </c>
      <c r="D352" s="4" t="inlineStr">
        <is>
          <t>Dr Sara Al Harbi</t>
        </is>
      </c>
      <c r="E352" s="4" t="inlineStr">
        <is>
          <t>P-3036</t>
        </is>
      </c>
      <c r="F352" s="4" t="inlineStr">
        <is>
          <t>Returning</t>
        </is>
      </c>
      <c r="G352" s="4" t="inlineStr">
        <is>
          <t>Google</t>
        </is>
      </c>
      <c r="H352" s="4" t="inlineStr">
        <is>
          <t>Follow-up visit</t>
        </is>
      </c>
      <c r="I352" s="9">
        <f>IF($H352="","",IFERROR(INDEX('Settings'!$J$10:$J$39,MATCH($H352,'Settings'!$I$10:$I$39,0)),""))</f>
        <v/>
      </c>
      <c r="J352" s="6" t="n">
        <v>1</v>
      </c>
      <c r="K352" s="8" t="n">
        <v>150</v>
      </c>
      <c r="L352" s="8" t="n"/>
      <c r="M352" s="14">
        <f>IF($A352="","",$J352*$K352)</f>
        <v/>
      </c>
      <c r="N352" s="14">
        <f>IF($A352="","",$M352-$L352)</f>
        <v/>
      </c>
      <c r="O352" s="4" t="inlineStr">
        <is>
          <t>Transfer</t>
        </is>
      </c>
      <c r="P352" s="15">
        <f>IF($A352="","",DATE(YEAR($A352),MONTH($A352),1))</f>
        <v/>
      </c>
      <c r="Q352" s="16">
        <f>IF($H352="","",$J352*IFERROR(INDEX('Settings'!$L$10:$L$39,MATCH($H352,'Settings'!$I$10:$I$39,0)),0))</f>
        <v/>
      </c>
      <c r="R352" s="17">
        <f>IF($A352="","",$A352-WEEKDAY($A352,2)+1)</f>
        <v/>
      </c>
    </row>
    <row r="353">
      <c r="A353" s="5" t="n">
        <v>46233</v>
      </c>
      <c r="B353" s="4" t="inlineStr">
        <is>
          <t>North branch</t>
        </is>
      </c>
      <c r="C353" s="4" t="inlineStr">
        <is>
          <t>North 1</t>
        </is>
      </c>
      <c r="D353" s="4" t="inlineStr">
        <is>
          <t>Dr Layla Al Qahtani</t>
        </is>
      </c>
      <c r="E353" s="4" t="inlineStr">
        <is>
          <t>P-2299</t>
        </is>
      </c>
      <c r="F353" s="4" t="inlineStr">
        <is>
          <t>Returning</t>
        </is>
      </c>
      <c r="G353" s="4" t="inlineStr">
        <is>
          <t>Referral</t>
        </is>
      </c>
      <c r="H353" s="4" t="inlineStr">
        <is>
          <t>Facial cleansing</t>
        </is>
      </c>
      <c r="I353" s="9">
        <f>IF($H353="","",IFERROR(INDEX('Settings'!$J$10:$J$39,MATCH($H353,'Settings'!$I$10:$I$39,0)),""))</f>
        <v/>
      </c>
      <c r="J353" s="6" t="n">
        <v>1</v>
      </c>
      <c r="K353" s="8" t="n">
        <v>400</v>
      </c>
      <c r="L353" s="8" t="n"/>
      <c r="M353" s="14">
        <f>IF($A353="","",$J353*$K353)</f>
        <v/>
      </c>
      <c r="N353" s="14">
        <f>IF($A353="","",$M353-$L353)</f>
        <v/>
      </c>
      <c r="O353" s="4" t="inlineStr">
        <is>
          <t>Insurance</t>
        </is>
      </c>
      <c r="P353" s="15">
        <f>IF($A353="","",DATE(YEAR($A353),MONTH($A353),1))</f>
        <v/>
      </c>
      <c r="Q353" s="16">
        <f>IF($H353="","",$J353*IFERROR(INDEX('Settings'!$L$10:$L$39,MATCH($H353,'Settings'!$I$10:$I$39,0)),0))</f>
        <v/>
      </c>
      <c r="R353" s="17">
        <f>IF($A353="","",$A353-WEEKDAY($A353,2)+1)</f>
        <v/>
      </c>
    </row>
    <row r="354">
      <c r="A354" s="5" t="n">
        <v>46233</v>
      </c>
      <c r="B354" s="4" t="inlineStr">
        <is>
          <t>North branch</t>
        </is>
      </c>
      <c r="C354" s="4" t="inlineStr">
        <is>
          <t>North 1</t>
        </is>
      </c>
      <c r="D354" s="4" t="inlineStr">
        <is>
          <t>Dr Khaled Youssef</t>
        </is>
      </c>
      <c r="E354" s="4" t="inlineStr">
        <is>
          <t>P-3050</t>
        </is>
      </c>
      <c r="F354" s="4" t="inlineStr">
        <is>
          <t>New</t>
        </is>
      </c>
      <c r="G354" s="4" t="inlineStr">
        <is>
          <t>Google</t>
        </is>
      </c>
      <c r="H354" s="4" t="inlineStr">
        <is>
          <t>Laser session, body</t>
        </is>
      </c>
      <c r="I354" s="9">
        <f>IF($H354="","",IFERROR(INDEX('Settings'!$J$10:$J$39,MATCH($H354,'Settings'!$I$10:$I$39,0)),""))</f>
        <v/>
      </c>
      <c r="J354" s="6" t="n">
        <v>1</v>
      </c>
      <c r="K354" s="8" t="n">
        <v>1200</v>
      </c>
      <c r="L354" s="8" t="n"/>
      <c r="M354" s="14">
        <f>IF($A354="","",$J354*$K354)</f>
        <v/>
      </c>
      <c r="N354" s="14">
        <f>IF($A354="","",$M354-$L354)</f>
        <v/>
      </c>
      <c r="O354" s="4" t="inlineStr">
        <is>
          <t>Card</t>
        </is>
      </c>
      <c r="P354" s="15">
        <f>IF($A354="","",DATE(YEAR($A354),MONTH($A354),1))</f>
        <v/>
      </c>
      <c r="Q354" s="16">
        <f>IF($H354="","",$J354*IFERROR(INDEX('Settings'!$L$10:$L$39,MATCH($H354,'Settings'!$I$10:$I$39,0)),0))</f>
        <v/>
      </c>
      <c r="R354" s="17">
        <f>IF($A354="","",$A354-WEEKDAY($A354,2)+1)</f>
        <v/>
      </c>
    </row>
    <row r="355">
      <c r="A355" s="5" t="n">
        <v>46233</v>
      </c>
      <c r="B355" s="4" t="inlineStr">
        <is>
          <t>North branch</t>
        </is>
      </c>
      <c r="C355" s="4" t="inlineStr">
        <is>
          <t>North 1</t>
        </is>
      </c>
      <c r="D355" s="4" t="inlineStr">
        <is>
          <t>Dr Khaled Youssef</t>
        </is>
      </c>
      <c r="E355" s="4" t="inlineStr">
        <is>
          <t>P-3177</t>
        </is>
      </c>
      <c r="F355" s="4" t="inlineStr">
        <is>
          <t>Returning</t>
        </is>
      </c>
      <c r="G355" s="4" t="inlineStr">
        <is>
          <t>WhatsApp</t>
        </is>
      </c>
      <c r="H355" s="4" t="inlineStr">
        <is>
          <t>Botulinum toxin</t>
        </is>
      </c>
      <c r="I355" s="9">
        <f>IF($H355="","",IFERROR(INDEX('Settings'!$J$10:$J$39,MATCH($H355,'Settings'!$I$10:$I$39,0)),""))</f>
        <v/>
      </c>
      <c r="J355" s="6" t="n">
        <v>1</v>
      </c>
      <c r="K355" s="8" t="n">
        <v>1500</v>
      </c>
      <c r="L355" s="8" t="n"/>
      <c r="M355" s="14">
        <f>IF($A355="","",$J355*$K355)</f>
        <v/>
      </c>
      <c r="N355" s="14">
        <f>IF($A355="","",$M355-$L355)</f>
        <v/>
      </c>
      <c r="O355" s="4" t="inlineStr">
        <is>
          <t>Cash</t>
        </is>
      </c>
      <c r="P355" s="15">
        <f>IF($A355="","",DATE(YEAR($A355),MONTH($A355),1))</f>
        <v/>
      </c>
      <c r="Q355" s="16">
        <f>IF($H355="","",$J355*IFERROR(INDEX('Settings'!$L$10:$L$39,MATCH($H355,'Settings'!$I$10:$I$39,0)),0))</f>
        <v/>
      </c>
      <c r="R355" s="17">
        <f>IF($A355="","",$A355-WEEKDAY($A355,2)+1)</f>
        <v/>
      </c>
    </row>
    <row r="356">
      <c r="A356" s="5" t="n">
        <v>46233</v>
      </c>
      <c r="B356" s="4" t="inlineStr">
        <is>
          <t>North branch</t>
        </is>
      </c>
      <c r="C356" s="4" t="inlineStr">
        <is>
          <t>North 2</t>
        </is>
      </c>
      <c r="D356" s="4" t="inlineStr">
        <is>
          <t>Dr Khaled Youssef</t>
        </is>
      </c>
      <c r="E356" s="4" t="inlineStr">
        <is>
          <t>P-2442</t>
        </is>
      </c>
      <c r="F356" s="4" t="inlineStr">
        <is>
          <t>New</t>
        </is>
      </c>
      <c r="G356" s="4" t="inlineStr">
        <is>
          <t>Walk-in</t>
        </is>
      </c>
      <c r="H356" s="4" t="inlineStr">
        <is>
          <t>Physiotherapy session</t>
        </is>
      </c>
      <c r="I356" s="9">
        <f>IF($H356="","",IFERROR(INDEX('Settings'!$J$10:$J$39,MATCH($H356,'Settings'!$I$10:$I$39,0)),""))</f>
        <v/>
      </c>
      <c r="J356" s="6" t="n">
        <v>1</v>
      </c>
      <c r="K356" s="8" t="n">
        <v>300</v>
      </c>
      <c r="L356" s="8" t="n"/>
      <c r="M356" s="14">
        <f>IF($A356="","",$J356*$K356)</f>
        <v/>
      </c>
      <c r="N356" s="14">
        <f>IF($A356="","",$M356-$L356)</f>
        <v/>
      </c>
      <c r="O356" s="4" t="inlineStr">
        <is>
          <t>Card</t>
        </is>
      </c>
      <c r="P356" s="15">
        <f>IF($A356="","",DATE(YEAR($A356),MONTH($A356),1))</f>
        <v/>
      </c>
      <c r="Q356" s="16">
        <f>IF($H356="","",$J356*IFERROR(INDEX('Settings'!$L$10:$L$39,MATCH($H356,'Settings'!$I$10:$I$39,0)),0))</f>
        <v/>
      </c>
      <c r="R356" s="17">
        <f>IF($A356="","",$A356-WEEKDAY($A356,2)+1)</f>
        <v/>
      </c>
    </row>
    <row r="357">
      <c r="A357" s="5" t="n">
        <v>46233</v>
      </c>
      <c r="B357" s="4" t="inlineStr">
        <is>
          <t>North branch</t>
        </is>
      </c>
      <c r="C357" s="4" t="inlineStr">
        <is>
          <t>North 2</t>
        </is>
      </c>
      <c r="D357" s="4" t="inlineStr">
        <is>
          <t>Dr Mohamed Adel</t>
        </is>
      </c>
      <c r="E357" s="4" t="inlineStr">
        <is>
          <t>P-2533</t>
        </is>
      </c>
      <c r="F357" s="4" t="inlineStr">
        <is>
          <t>Returning</t>
        </is>
      </c>
      <c r="G357" s="4" t="inlineStr">
        <is>
          <t>Instagram</t>
        </is>
      </c>
      <c r="H357" s="4" t="inlineStr">
        <is>
          <t>Follow-up visit</t>
        </is>
      </c>
      <c r="I357" s="9">
        <f>IF($H357="","",IFERROR(INDEX('Settings'!$J$10:$J$39,MATCH($H357,'Settings'!$I$10:$I$39,0)),""))</f>
        <v/>
      </c>
      <c r="J357" s="6" t="n">
        <v>1</v>
      </c>
      <c r="K357" s="8" t="n">
        <v>150</v>
      </c>
      <c r="L357" s="8" t="n"/>
      <c r="M357" s="14">
        <f>IF($A357="","",$J357*$K357)</f>
        <v/>
      </c>
      <c r="N357" s="14">
        <f>IF($A357="","",$M357-$L357)</f>
        <v/>
      </c>
      <c r="O357" s="4" t="inlineStr">
        <is>
          <t>Insurance</t>
        </is>
      </c>
      <c r="P357" s="15">
        <f>IF($A357="","",DATE(YEAR($A357),MONTH($A357),1))</f>
        <v/>
      </c>
      <c r="Q357" s="16">
        <f>IF($H357="","",$J357*IFERROR(INDEX('Settings'!$L$10:$L$39,MATCH($H357,'Settings'!$I$10:$I$39,0)),0))</f>
        <v/>
      </c>
      <c r="R357" s="17">
        <f>IF($A357="","",$A357-WEEKDAY($A357,2)+1)</f>
        <v/>
      </c>
    </row>
    <row r="358">
      <c r="A358" s="5" t="n">
        <v>46233</v>
      </c>
      <c r="B358" s="4" t="inlineStr">
        <is>
          <t>North branch</t>
        </is>
      </c>
      <c r="C358" s="4" t="inlineStr">
        <is>
          <t>North 2</t>
        </is>
      </c>
      <c r="D358" s="4" t="inlineStr">
        <is>
          <t>Dr Khaled Youssef</t>
        </is>
      </c>
      <c r="E358" s="4" t="inlineStr">
        <is>
          <t>P-2482</t>
        </is>
      </c>
      <c r="F358" s="4" t="inlineStr">
        <is>
          <t>New</t>
        </is>
      </c>
      <c r="G358" s="4" t="inlineStr">
        <is>
          <t>Google</t>
        </is>
      </c>
      <c r="H358" s="4" t="inlineStr">
        <is>
          <t>Physiotherapy session</t>
        </is>
      </c>
      <c r="I358" s="9">
        <f>IF($H358="","",IFERROR(INDEX('Settings'!$J$10:$J$39,MATCH($H358,'Settings'!$I$10:$I$39,0)),""))</f>
        <v/>
      </c>
      <c r="J358" s="6" t="n">
        <v>1</v>
      </c>
      <c r="K358" s="8" t="n">
        <v>300</v>
      </c>
      <c r="L358" s="8" t="n"/>
      <c r="M358" s="14">
        <f>IF($A358="","",$J358*$K358)</f>
        <v/>
      </c>
      <c r="N358" s="14">
        <f>IF($A358="","",$M358-$L358)</f>
        <v/>
      </c>
      <c r="O358" s="4" t="inlineStr">
        <is>
          <t>Payment link</t>
        </is>
      </c>
      <c r="P358" s="15">
        <f>IF($A358="","",DATE(YEAR($A358),MONTH($A358),1))</f>
        <v/>
      </c>
      <c r="Q358" s="16">
        <f>IF($H358="","",$J358*IFERROR(INDEX('Settings'!$L$10:$L$39,MATCH($H358,'Settings'!$I$10:$I$39,0)),0))</f>
        <v/>
      </c>
      <c r="R358" s="17">
        <f>IF($A358="","",$A358-WEEKDAY($A358,2)+1)</f>
        <v/>
      </c>
    </row>
    <row r="359">
      <c r="A359" s="5" t="n">
        <v>46235</v>
      </c>
      <c r="B359" s="4" t="inlineStr">
        <is>
          <t>Main branch</t>
        </is>
      </c>
      <c r="C359" s="4" t="inlineStr">
        <is>
          <t>Main 1</t>
        </is>
      </c>
      <c r="D359" s="4" t="inlineStr">
        <is>
          <t>Dr Sara Al Harbi</t>
        </is>
      </c>
      <c r="E359" s="4" t="inlineStr">
        <is>
          <t>P-2606</t>
        </is>
      </c>
      <c r="F359" s="4" t="inlineStr">
        <is>
          <t>New</t>
        </is>
      </c>
      <c r="G359" s="4" t="inlineStr">
        <is>
          <t>Walk-in</t>
        </is>
      </c>
      <c r="H359" s="4" t="inlineStr">
        <is>
          <t>Skin tag removal</t>
        </is>
      </c>
      <c r="I359" s="9">
        <f>IF($H359="","",IFERROR(INDEX('Settings'!$J$10:$J$39,MATCH($H359,'Settings'!$I$10:$I$39,0)),""))</f>
        <v/>
      </c>
      <c r="J359" s="6" t="n">
        <v>1</v>
      </c>
      <c r="K359" s="8" t="n">
        <v>500</v>
      </c>
      <c r="L359" s="8" t="n"/>
      <c r="M359" s="14">
        <f>IF($A359="","",$J359*$K359)</f>
        <v/>
      </c>
      <c r="N359" s="14">
        <f>IF($A359="","",$M359-$L359)</f>
        <v/>
      </c>
      <c r="O359" s="4" t="inlineStr">
        <is>
          <t>Card</t>
        </is>
      </c>
      <c r="P359" s="15">
        <f>IF($A359="","",DATE(YEAR($A359),MONTH($A359),1))</f>
        <v/>
      </c>
      <c r="Q359" s="16">
        <f>IF($H359="","",$J359*IFERROR(INDEX('Settings'!$L$10:$L$39,MATCH($H359,'Settings'!$I$10:$I$39,0)),0))</f>
        <v/>
      </c>
      <c r="R359" s="17">
        <f>IF($A359="","",$A359-WEEKDAY($A359,2)+1)</f>
        <v/>
      </c>
    </row>
    <row r="360">
      <c r="A360" s="5" t="n">
        <v>46235</v>
      </c>
      <c r="B360" s="4" t="inlineStr">
        <is>
          <t>Main branch</t>
        </is>
      </c>
      <c r="C360" s="4" t="inlineStr">
        <is>
          <t>Main 3</t>
        </is>
      </c>
      <c r="D360" s="4" t="inlineStr">
        <is>
          <t>Dr Ahmed Mansour</t>
        </is>
      </c>
      <c r="E360" s="4" t="inlineStr">
        <is>
          <t>P-3324</t>
        </is>
      </c>
      <c r="F360" s="4" t="inlineStr">
        <is>
          <t>Returning</t>
        </is>
      </c>
      <c r="G360" s="4" t="inlineStr">
        <is>
          <t>Walk-in</t>
        </is>
      </c>
      <c r="H360" s="4" t="inlineStr">
        <is>
          <t>Skin tag removal</t>
        </is>
      </c>
      <c r="I360" s="9">
        <f>IF($H360="","",IFERROR(INDEX('Settings'!$J$10:$J$39,MATCH($H360,'Settings'!$I$10:$I$39,0)),""))</f>
        <v/>
      </c>
      <c r="J360" s="6" t="n">
        <v>1</v>
      </c>
      <c r="K360" s="8" t="n">
        <v>500</v>
      </c>
      <c r="L360" s="8" t="n"/>
      <c r="M360" s="14">
        <f>IF($A360="","",$J360*$K360)</f>
        <v/>
      </c>
      <c r="N360" s="14">
        <f>IF($A360="","",$M360-$L360)</f>
        <v/>
      </c>
      <c r="O360" s="4" t="inlineStr">
        <is>
          <t>Card</t>
        </is>
      </c>
      <c r="P360" s="15">
        <f>IF($A360="","",DATE(YEAR($A360),MONTH($A360),1))</f>
        <v/>
      </c>
      <c r="Q360" s="16">
        <f>IF($H360="","",$J360*IFERROR(INDEX('Settings'!$L$10:$L$39,MATCH($H360,'Settings'!$I$10:$I$39,0)),0))</f>
        <v/>
      </c>
      <c r="R360" s="17">
        <f>IF($A360="","",$A360-WEEKDAY($A360,2)+1)</f>
        <v/>
      </c>
    </row>
    <row r="361">
      <c r="A361" s="5" t="n">
        <v>46235</v>
      </c>
      <c r="B361" s="4" t="inlineStr">
        <is>
          <t>Main branch</t>
        </is>
      </c>
      <c r="C361" s="4" t="inlineStr">
        <is>
          <t>Main 3</t>
        </is>
      </c>
      <c r="D361" s="4" t="inlineStr">
        <is>
          <t>Dr Sara Al Harbi</t>
        </is>
      </c>
      <c r="E361" s="4" t="inlineStr">
        <is>
          <t>P-2949</t>
        </is>
      </c>
      <c r="F361" s="4" t="inlineStr">
        <is>
          <t>Returning</t>
        </is>
      </c>
      <c r="G361" s="4" t="inlineStr">
        <is>
          <t>Walk-in</t>
        </is>
      </c>
      <c r="H361" s="4" t="inlineStr">
        <is>
          <t>Specialist consultation</t>
        </is>
      </c>
      <c r="I361" s="9">
        <f>IF($H361="","",IFERROR(INDEX('Settings'!$J$10:$J$39,MATCH($H361,'Settings'!$I$10:$I$39,0)),""))</f>
        <v/>
      </c>
      <c r="J361" s="6" t="n">
        <v>1</v>
      </c>
      <c r="K361" s="8" t="n">
        <v>350</v>
      </c>
      <c r="L361" s="8" t="n"/>
      <c r="M361" s="14">
        <f>IF($A361="","",$J361*$K361)</f>
        <v/>
      </c>
      <c r="N361" s="14">
        <f>IF($A361="","",$M361-$L361)</f>
        <v/>
      </c>
      <c r="O361" s="4" t="inlineStr">
        <is>
          <t>Cash</t>
        </is>
      </c>
      <c r="P361" s="15">
        <f>IF($A361="","",DATE(YEAR($A361),MONTH($A361),1))</f>
        <v/>
      </c>
      <c r="Q361" s="16">
        <f>IF($H361="","",$J361*IFERROR(INDEX('Settings'!$L$10:$L$39,MATCH($H361,'Settings'!$I$10:$I$39,0)),0))</f>
        <v/>
      </c>
      <c r="R361" s="17">
        <f>IF($A361="","",$A361-WEEKDAY($A361,2)+1)</f>
        <v/>
      </c>
    </row>
    <row r="362">
      <c r="A362" s="5" t="n">
        <v>46235</v>
      </c>
      <c r="B362" s="4" t="inlineStr">
        <is>
          <t>Main branch</t>
        </is>
      </c>
      <c r="C362" s="4" t="inlineStr">
        <is>
          <t>Main 3</t>
        </is>
      </c>
      <c r="D362" s="4" t="inlineStr">
        <is>
          <t>Dr Ahmed Mansour</t>
        </is>
      </c>
      <c r="E362" s="4" t="inlineStr">
        <is>
          <t>P-2235</t>
        </is>
      </c>
      <c r="F362" s="4" t="inlineStr">
        <is>
          <t>Returning</t>
        </is>
      </c>
      <c r="G362" s="4" t="inlineStr">
        <is>
          <t>WhatsApp</t>
        </is>
      </c>
      <c r="H362" s="4" t="inlineStr">
        <is>
          <t>Laser session, body</t>
        </is>
      </c>
      <c r="I362" s="9">
        <f>IF($H362="","",IFERROR(INDEX('Settings'!$J$10:$J$39,MATCH($H362,'Settings'!$I$10:$I$39,0)),""))</f>
        <v/>
      </c>
      <c r="J362" s="6" t="n">
        <v>1</v>
      </c>
      <c r="K362" s="8" t="n">
        <v>1200</v>
      </c>
      <c r="L362" s="8" t="n"/>
      <c r="M362" s="14">
        <f>IF($A362="","",$J362*$K362)</f>
        <v/>
      </c>
      <c r="N362" s="14">
        <f>IF($A362="","",$M362-$L362)</f>
        <v/>
      </c>
      <c r="O362" s="4" t="inlineStr">
        <is>
          <t>Card</t>
        </is>
      </c>
      <c r="P362" s="15">
        <f>IF($A362="","",DATE(YEAR($A362),MONTH($A362),1))</f>
        <v/>
      </c>
      <c r="Q362" s="16">
        <f>IF($H362="","",$J362*IFERROR(INDEX('Settings'!$L$10:$L$39,MATCH($H362,'Settings'!$I$10:$I$39,0)),0))</f>
        <v/>
      </c>
      <c r="R362" s="17">
        <f>IF($A362="","",$A362-WEEKDAY($A362,2)+1)</f>
        <v/>
      </c>
    </row>
    <row r="363">
      <c r="A363" s="5" t="n">
        <v>46235</v>
      </c>
      <c r="B363" s="4" t="inlineStr">
        <is>
          <t>Main branch</t>
        </is>
      </c>
      <c r="C363" s="4" t="inlineStr">
        <is>
          <t>Main 4</t>
        </is>
      </c>
      <c r="D363" s="4" t="inlineStr">
        <is>
          <t>Dr Noura Al Subaie</t>
        </is>
      </c>
      <c r="E363" s="4" t="inlineStr">
        <is>
          <t>P-2697</t>
        </is>
      </c>
      <c r="F363" s="4" t="inlineStr">
        <is>
          <t>Returning</t>
        </is>
      </c>
      <c r="G363" s="4" t="inlineStr">
        <is>
          <t>Instagram</t>
        </is>
      </c>
      <c r="H363" s="4" t="inlineStr">
        <is>
          <t>Facial cleansing</t>
        </is>
      </c>
      <c r="I363" s="9">
        <f>IF($H363="","",IFERROR(INDEX('Settings'!$J$10:$J$39,MATCH($H363,'Settings'!$I$10:$I$39,0)),""))</f>
        <v/>
      </c>
      <c r="J363" s="6" t="n">
        <v>1</v>
      </c>
      <c r="K363" s="8" t="n">
        <v>400</v>
      </c>
      <c r="L363" s="8" t="n">
        <v>60</v>
      </c>
      <c r="M363" s="14">
        <f>IF($A363="","",$J363*$K363)</f>
        <v/>
      </c>
      <c r="N363" s="14">
        <f>IF($A363="","",$M363-$L363)</f>
        <v/>
      </c>
      <c r="O363" s="4" t="inlineStr">
        <is>
          <t>Cash</t>
        </is>
      </c>
      <c r="P363" s="15">
        <f>IF($A363="","",DATE(YEAR($A363),MONTH($A363),1))</f>
        <v/>
      </c>
      <c r="Q363" s="16">
        <f>IF($H363="","",$J363*IFERROR(INDEX('Settings'!$L$10:$L$39,MATCH($H363,'Settings'!$I$10:$I$39,0)),0))</f>
        <v/>
      </c>
      <c r="R363" s="17">
        <f>IF($A363="","",$A363-WEEKDAY($A363,2)+1)</f>
        <v/>
      </c>
    </row>
    <row r="364">
      <c r="A364" s="5" t="n">
        <v>46235</v>
      </c>
      <c r="B364" s="4" t="inlineStr">
        <is>
          <t>North branch</t>
        </is>
      </c>
      <c r="C364" s="4" t="inlineStr">
        <is>
          <t>North 1</t>
        </is>
      </c>
      <c r="D364" s="4" t="inlineStr">
        <is>
          <t>Dr Mohamed Adel</t>
        </is>
      </c>
      <c r="E364" s="4" t="inlineStr">
        <is>
          <t>P-2779</t>
        </is>
      </c>
      <c r="F364" s="4" t="inlineStr">
        <is>
          <t>New</t>
        </is>
      </c>
      <c r="G364" s="4" t="inlineStr">
        <is>
          <t>Google</t>
        </is>
      </c>
      <c r="H364" s="4" t="inlineStr">
        <is>
          <t>Sunscreen cream</t>
        </is>
      </c>
      <c r="I364" s="9">
        <f>IF($H364="","",IFERROR(INDEX('Settings'!$J$10:$J$39,MATCH($H364,'Settings'!$I$10:$I$39,0)),""))</f>
        <v/>
      </c>
      <c r="J364" s="6" t="n">
        <v>2</v>
      </c>
      <c r="K364" s="8" t="n">
        <v>120</v>
      </c>
      <c r="L364" s="8" t="n"/>
      <c r="M364" s="14">
        <f>IF($A364="","",$J364*$K364)</f>
        <v/>
      </c>
      <c r="N364" s="14">
        <f>IF($A364="","",$M364-$L364)</f>
        <v/>
      </c>
      <c r="O364" s="4" t="inlineStr">
        <is>
          <t>Card</t>
        </is>
      </c>
      <c r="P364" s="15">
        <f>IF($A364="","",DATE(YEAR($A364),MONTH($A364),1))</f>
        <v/>
      </c>
      <c r="Q364" s="16">
        <f>IF($H364="","",$J364*IFERROR(INDEX('Settings'!$L$10:$L$39,MATCH($H364,'Settings'!$I$10:$I$39,0)),0))</f>
        <v/>
      </c>
      <c r="R364" s="17">
        <f>IF($A364="","",$A364-WEEKDAY($A364,2)+1)</f>
        <v/>
      </c>
    </row>
    <row r="365">
      <c r="A365" s="5" t="n">
        <v>46235</v>
      </c>
      <c r="B365" s="4" t="inlineStr">
        <is>
          <t>North branch</t>
        </is>
      </c>
      <c r="C365" s="4" t="inlineStr">
        <is>
          <t>North 1</t>
        </is>
      </c>
      <c r="D365" s="4" t="inlineStr">
        <is>
          <t>Dr Mohamed Adel</t>
        </is>
      </c>
      <c r="E365" s="4" t="inlineStr">
        <is>
          <t>P-3496</t>
        </is>
      </c>
      <c r="F365" s="4" t="inlineStr">
        <is>
          <t>Returning</t>
        </is>
      </c>
      <c r="G365" s="4" t="inlineStr">
        <is>
          <t>WhatsApp</t>
        </is>
      </c>
      <c r="H365" s="4" t="inlineStr">
        <is>
          <t>Sunscreen cream</t>
        </is>
      </c>
      <c r="I365" s="9">
        <f>IF($H365="","",IFERROR(INDEX('Settings'!$J$10:$J$39,MATCH($H365,'Settings'!$I$10:$I$39,0)),""))</f>
        <v/>
      </c>
      <c r="J365" s="6" t="n">
        <v>1</v>
      </c>
      <c r="K365" s="8" t="n">
        <v>120</v>
      </c>
      <c r="L365" s="8" t="n"/>
      <c r="M365" s="14">
        <f>IF($A365="","",$J365*$K365)</f>
        <v/>
      </c>
      <c r="N365" s="14">
        <f>IF($A365="","",$M365-$L365)</f>
        <v/>
      </c>
      <c r="O365" s="4" t="inlineStr">
        <is>
          <t>Card</t>
        </is>
      </c>
      <c r="P365" s="15">
        <f>IF($A365="","",DATE(YEAR($A365),MONTH($A365),1))</f>
        <v/>
      </c>
      <c r="Q365" s="16">
        <f>IF($H365="","",$J365*IFERROR(INDEX('Settings'!$L$10:$L$39,MATCH($H365,'Settings'!$I$10:$I$39,0)),0))</f>
        <v/>
      </c>
      <c r="R365" s="17">
        <f>IF($A365="","",$A365-WEEKDAY($A365,2)+1)</f>
        <v/>
      </c>
    </row>
    <row r="366">
      <c r="A366" s="5" t="n">
        <v>46235</v>
      </c>
      <c r="B366" s="4" t="inlineStr">
        <is>
          <t>North branch</t>
        </is>
      </c>
      <c r="C366" s="4" t="inlineStr">
        <is>
          <t>North 1</t>
        </is>
      </c>
      <c r="D366" s="4" t="inlineStr">
        <is>
          <t>Dr Layla Al Qahtani</t>
        </is>
      </c>
      <c r="E366" s="4" t="inlineStr">
        <is>
          <t>P-2273</t>
        </is>
      </c>
      <c r="F366" s="4" t="inlineStr">
        <is>
          <t>New</t>
        </is>
      </c>
      <c r="G366" s="4" t="inlineStr">
        <is>
          <t>Walk-in</t>
        </is>
      </c>
      <c r="H366" s="4" t="inlineStr">
        <is>
          <t>Chemical peel</t>
        </is>
      </c>
      <c r="I366" s="9">
        <f>IF($H366="","",IFERROR(INDEX('Settings'!$J$10:$J$39,MATCH($H366,'Settings'!$I$10:$I$39,0)),""))</f>
        <v/>
      </c>
      <c r="J366" s="6" t="n">
        <v>1</v>
      </c>
      <c r="K366" s="8" t="n">
        <v>800</v>
      </c>
      <c r="L366" s="8" t="n"/>
      <c r="M366" s="14">
        <f>IF($A366="","",$J366*$K366)</f>
        <v/>
      </c>
      <c r="N366" s="14">
        <f>IF($A366="","",$M366-$L366)</f>
        <v/>
      </c>
      <c r="O366" s="4" t="inlineStr">
        <is>
          <t>Cash</t>
        </is>
      </c>
      <c r="P366" s="15">
        <f>IF($A366="","",DATE(YEAR($A366),MONTH($A366),1))</f>
        <v/>
      </c>
      <c r="Q366" s="16">
        <f>IF($H366="","",$J366*IFERROR(INDEX('Settings'!$L$10:$L$39,MATCH($H366,'Settings'!$I$10:$I$39,0)),0))</f>
        <v/>
      </c>
      <c r="R366" s="17">
        <f>IF($A366="","",$A366-WEEKDAY($A366,2)+1)</f>
        <v/>
      </c>
    </row>
    <row r="367">
      <c r="A367" s="5" t="n">
        <v>46235</v>
      </c>
      <c r="B367" s="4" t="inlineStr">
        <is>
          <t>North branch</t>
        </is>
      </c>
      <c r="C367" s="4" t="inlineStr">
        <is>
          <t>North 1</t>
        </is>
      </c>
      <c r="D367" s="4" t="inlineStr">
        <is>
          <t>Dr Layla Al Qahtani</t>
        </is>
      </c>
      <c r="E367" s="4" t="inlineStr">
        <is>
          <t>P-3114</t>
        </is>
      </c>
      <c r="F367" s="4" t="inlineStr">
        <is>
          <t>Returning</t>
        </is>
      </c>
      <c r="G367" s="4" t="inlineStr">
        <is>
          <t>Google</t>
        </is>
      </c>
      <c r="H367" s="4" t="inlineStr">
        <is>
          <t>Specialist consultation</t>
        </is>
      </c>
      <c r="I367" s="9">
        <f>IF($H367="","",IFERROR(INDEX('Settings'!$J$10:$J$39,MATCH($H367,'Settings'!$I$10:$I$39,0)),""))</f>
        <v/>
      </c>
      <c r="J367" s="6" t="n">
        <v>1</v>
      </c>
      <c r="K367" s="8" t="n">
        <v>350</v>
      </c>
      <c r="L367" s="8" t="n"/>
      <c r="M367" s="14">
        <f>IF($A367="","",$J367*$K367)</f>
        <v/>
      </c>
      <c r="N367" s="14">
        <f>IF($A367="","",$M367-$L367)</f>
        <v/>
      </c>
      <c r="O367" s="4" t="inlineStr">
        <is>
          <t>Cash</t>
        </is>
      </c>
      <c r="P367" s="15">
        <f>IF($A367="","",DATE(YEAR($A367),MONTH($A367),1))</f>
        <v/>
      </c>
      <c r="Q367" s="16">
        <f>IF($H367="","",$J367*IFERROR(INDEX('Settings'!$L$10:$L$39,MATCH($H367,'Settings'!$I$10:$I$39,0)),0))</f>
        <v/>
      </c>
      <c r="R367" s="17">
        <f>IF($A367="","",$A367-WEEKDAY($A367,2)+1)</f>
        <v/>
      </c>
    </row>
    <row r="368">
      <c r="A368" s="5" t="n">
        <v>46235</v>
      </c>
      <c r="B368" s="4" t="inlineStr">
        <is>
          <t>North branch</t>
        </is>
      </c>
      <c r="C368" s="4" t="inlineStr">
        <is>
          <t>North 2</t>
        </is>
      </c>
      <c r="D368" s="4" t="inlineStr">
        <is>
          <t>Dr Mohamed Adel</t>
        </is>
      </c>
      <c r="E368" s="4" t="inlineStr">
        <is>
          <t>P-2244</t>
        </is>
      </c>
      <c r="F368" s="4" t="inlineStr">
        <is>
          <t>New</t>
        </is>
      </c>
      <c r="G368" s="4" t="inlineStr">
        <is>
          <t>Google</t>
        </is>
      </c>
      <c r="H368" s="4" t="inlineStr">
        <is>
          <t>Sunscreen cream</t>
        </is>
      </c>
      <c r="I368" s="9">
        <f>IF($H368="","",IFERROR(INDEX('Settings'!$J$10:$J$39,MATCH($H368,'Settings'!$I$10:$I$39,0)),""))</f>
        <v/>
      </c>
      <c r="J368" s="6" t="n">
        <v>2</v>
      </c>
      <c r="K368" s="8" t="n">
        <v>120</v>
      </c>
      <c r="L368" s="8" t="n">
        <v>20</v>
      </c>
      <c r="M368" s="14">
        <f>IF($A368="","",$J368*$K368)</f>
        <v/>
      </c>
      <c r="N368" s="14">
        <f>IF($A368="","",$M368-$L368)</f>
        <v/>
      </c>
      <c r="O368" s="4" t="inlineStr">
        <is>
          <t>Payment link</t>
        </is>
      </c>
      <c r="P368" s="15">
        <f>IF($A368="","",DATE(YEAR($A368),MONTH($A368),1))</f>
        <v/>
      </c>
      <c r="Q368" s="16">
        <f>IF($H368="","",$J368*IFERROR(INDEX('Settings'!$L$10:$L$39,MATCH($H368,'Settings'!$I$10:$I$39,0)),0))</f>
        <v/>
      </c>
      <c r="R368" s="17">
        <f>IF($A368="","",$A368-WEEKDAY($A368,2)+1)</f>
        <v/>
      </c>
    </row>
    <row r="369">
      <c r="A369" s="5" t="n">
        <v>46235</v>
      </c>
      <c r="B369" s="4" t="inlineStr">
        <is>
          <t>North branch</t>
        </is>
      </c>
      <c r="C369" s="4" t="inlineStr">
        <is>
          <t>North 2</t>
        </is>
      </c>
      <c r="D369" s="4" t="inlineStr">
        <is>
          <t>Dr Khaled Youssef</t>
        </is>
      </c>
      <c r="E369" s="4" t="inlineStr">
        <is>
          <t>P-2914</t>
        </is>
      </c>
      <c r="F369" s="4" t="inlineStr">
        <is>
          <t>New</t>
        </is>
      </c>
      <c r="G369" s="4" t="inlineStr">
        <is>
          <t>Instagram</t>
        </is>
      </c>
      <c r="H369" s="4" t="inlineStr">
        <is>
          <t>Follow-up visit</t>
        </is>
      </c>
      <c r="I369" s="9">
        <f>IF($H369="","",IFERROR(INDEX('Settings'!$J$10:$J$39,MATCH($H369,'Settings'!$I$10:$I$39,0)),""))</f>
        <v/>
      </c>
      <c r="J369" s="6" t="n">
        <v>1</v>
      </c>
      <c r="K369" s="8" t="n">
        <v>150</v>
      </c>
      <c r="L369" s="8" t="n"/>
      <c r="M369" s="14">
        <f>IF($A369="","",$J369*$K369)</f>
        <v/>
      </c>
      <c r="N369" s="14">
        <f>IF($A369="","",$M369-$L369)</f>
        <v/>
      </c>
      <c r="O369" s="4" t="inlineStr">
        <is>
          <t>Card</t>
        </is>
      </c>
      <c r="P369" s="15">
        <f>IF($A369="","",DATE(YEAR($A369),MONTH($A369),1))</f>
        <v/>
      </c>
      <c r="Q369" s="16">
        <f>IF($H369="","",$J369*IFERROR(INDEX('Settings'!$L$10:$L$39,MATCH($H369,'Settings'!$I$10:$I$39,0)),0))</f>
        <v/>
      </c>
      <c r="R369" s="17">
        <f>IF($A369="","",$A369-WEEKDAY($A369,2)+1)</f>
        <v/>
      </c>
    </row>
    <row r="370">
      <c r="A370" s="5" t="n">
        <v>46235</v>
      </c>
      <c r="B370" s="4" t="inlineStr">
        <is>
          <t>North branch</t>
        </is>
      </c>
      <c r="C370" s="4" t="inlineStr">
        <is>
          <t>North 2</t>
        </is>
      </c>
      <c r="D370" s="4" t="inlineStr">
        <is>
          <t>Dr Mohamed Adel</t>
        </is>
      </c>
      <c r="E370" s="4" t="inlineStr">
        <is>
          <t>P-3133</t>
        </is>
      </c>
      <c r="F370" s="4" t="inlineStr">
        <is>
          <t>Returning</t>
        </is>
      </c>
      <c r="G370" s="4" t="inlineStr">
        <is>
          <t>Walk-in</t>
        </is>
      </c>
      <c r="H370" s="4" t="inlineStr">
        <is>
          <t>Facial cleansing</t>
        </is>
      </c>
      <c r="I370" s="9">
        <f>IF($H370="","",IFERROR(INDEX('Settings'!$J$10:$J$39,MATCH($H370,'Settings'!$I$10:$I$39,0)),""))</f>
        <v/>
      </c>
      <c r="J370" s="6" t="n">
        <v>1</v>
      </c>
      <c r="K370" s="8" t="n">
        <v>400</v>
      </c>
      <c r="L370" s="8" t="n"/>
      <c r="M370" s="14">
        <f>IF($A370="","",$J370*$K370)</f>
        <v/>
      </c>
      <c r="N370" s="14">
        <f>IF($A370="","",$M370-$L370)</f>
        <v/>
      </c>
      <c r="O370" s="4" t="inlineStr">
        <is>
          <t>Cash</t>
        </is>
      </c>
      <c r="P370" s="15">
        <f>IF($A370="","",DATE(YEAR($A370),MONTH($A370),1))</f>
        <v/>
      </c>
      <c r="Q370" s="16">
        <f>IF($H370="","",$J370*IFERROR(INDEX('Settings'!$L$10:$L$39,MATCH($H370,'Settings'!$I$10:$I$39,0)),0))</f>
        <v/>
      </c>
      <c r="R370" s="17">
        <f>IF($A370="","",$A370-WEEKDAY($A370,2)+1)</f>
        <v/>
      </c>
    </row>
    <row r="371">
      <c r="A371" s="5" t="n">
        <v>46236</v>
      </c>
      <c r="B371" s="4" t="inlineStr">
        <is>
          <t>Main branch</t>
        </is>
      </c>
      <c r="C371" s="4" t="inlineStr">
        <is>
          <t>Main 1</t>
        </is>
      </c>
      <c r="D371" s="4" t="inlineStr">
        <is>
          <t>Dr Noura Al Subaie</t>
        </is>
      </c>
      <c r="E371" s="4" t="inlineStr">
        <is>
          <t>P-3257</t>
        </is>
      </c>
      <c r="F371" s="4" t="inlineStr">
        <is>
          <t>Returning</t>
        </is>
      </c>
      <c r="G371" s="4" t="inlineStr">
        <is>
          <t>Walk-in</t>
        </is>
      </c>
      <c r="H371" s="4" t="inlineStr">
        <is>
          <t>Filler injection</t>
        </is>
      </c>
      <c r="I371" s="9">
        <f>IF($H371="","",IFERROR(INDEX('Settings'!$J$10:$J$39,MATCH($H371,'Settings'!$I$10:$I$39,0)),""))</f>
        <v/>
      </c>
      <c r="J371" s="6" t="n">
        <v>1</v>
      </c>
      <c r="K371" s="8" t="n">
        <v>1800</v>
      </c>
      <c r="L371" s="8" t="n"/>
      <c r="M371" s="14">
        <f>IF($A371="","",$J371*$K371)</f>
        <v/>
      </c>
      <c r="N371" s="14">
        <f>IF($A371="","",$M371-$L371)</f>
        <v/>
      </c>
      <c r="O371" s="4" t="inlineStr">
        <is>
          <t>Payment link</t>
        </is>
      </c>
      <c r="P371" s="15">
        <f>IF($A371="","",DATE(YEAR($A371),MONTH($A371),1))</f>
        <v/>
      </c>
      <c r="Q371" s="16">
        <f>IF($H371="","",$J371*IFERROR(INDEX('Settings'!$L$10:$L$39,MATCH($H371,'Settings'!$I$10:$I$39,0)),0))</f>
        <v/>
      </c>
      <c r="R371" s="17">
        <f>IF($A371="","",$A371-WEEKDAY($A371,2)+1)</f>
        <v/>
      </c>
    </row>
    <row r="372">
      <c r="A372" s="5" t="n">
        <v>46236</v>
      </c>
      <c r="B372" s="4" t="inlineStr">
        <is>
          <t>Main branch</t>
        </is>
      </c>
      <c r="C372" s="4" t="inlineStr">
        <is>
          <t>Main 1</t>
        </is>
      </c>
      <c r="D372" s="4" t="inlineStr">
        <is>
          <t>Dr Sara Al Harbi</t>
        </is>
      </c>
      <c r="E372" s="4" t="inlineStr">
        <is>
          <t>P-2454</t>
        </is>
      </c>
      <c r="F372" s="4" t="inlineStr">
        <is>
          <t>Returning</t>
        </is>
      </c>
      <c r="G372" s="4" t="inlineStr">
        <is>
          <t>Instagram</t>
        </is>
      </c>
      <c r="H372" s="4" t="inlineStr">
        <is>
          <t>Skin tag removal</t>
        </is>
      </c>
      <c r="I372" s="9">
        <f>IF($H372="","",IFERROR(INDEX('Settings'!$J$10:$J$39,MATCH($H372,'Settings'!$I$10:$I$39,0)),""))</f>
        <v/>
      </c>
      <c r="J372" s="6" t="n">
        <v>1</v>
      </c>
      <c r="K372" s="8" t="n">
        <v>500</v>
      </c>
      <c r="L372" s="8" t="n">
        <v>50</v>
      </c>
      <c r="M372" s="14">
        <f>IF($A372="","",$J372*$K372)</f>
        <v/>
      </c>
      <c r="N372" s="14">
        <f>IF($A372="","",$M372-$L372)</f>
        <v/>
      </c>
      <c r="O372" s="4" t="inlineStr">
        <is>
          <t>Card</t>
        </is>
      </c>
      <c r="P372" s="15">
        <f>IF($A372="","",DATE(YEAR($A372),MONTH($A372),1))</f>
        <v/>
      </c>
      <c r="Q372" s="16">
        <f>IF($H372="","",$J372*IFERROR(INDEX('Settings'!$L$10:$L$39,MATCH($H372,'Settings'!$I$10:$I$39,0)),0))</f>
        <v/>
      </c>
      <c r="R372" s="17">
        <f>IF($A372="","",$A372-WEEKDAY($A372,2)+1)</f>
        <v/>
      </c>
    </row>
    <row r="373">
      <c r="A373" s="5" t="n">
        <v>46236</v>
      </c>
      <c r="B373" s="4" t="inlineStr">
        <is>
          <t>Main branch</t>
        </is>
      </c>
      <c r="C373" s="4" t="inlineStr">
        <is>
          <t>Main 1</t>
        </is>
      </c>
      <c r="D373" s="4" t="inlineStr">
        <is>
          <t>Dr Noura Al Subaie</t>
        </is>
      </c>
      <c r="E373" s="4" t="inlineStr">
        <is>
          <t>P-3135</t>
        </is>
      </c>
      <c r="F373" s="4" t="inlineStr">
        <is>
          <t>Returning</t>
        </is>
      </c>
      <c r="G373" s="4" t="inlineStr">
        <is>
          <t>Google</t>
        </is>
      </c>
      <c r="H373" s="4" t="inlineStr">
        <is>
          <t>Follow-up visit</t>
        </is>
      </c>
      <c r="I373" s="9">
        <f>IF($H373="","",IFERROR(INDEX('Settings'!$J$10:$J$39,MATCH($H373,'Settings'!$I$10:$I$39,0)),""))</f>
        <v/>
      </c>
      <c r="J373" s="6" t="n">
        <v>1</v>
      </c>
      <c r="K373" s="8" t="n">
        <v>150</v>
      </c>
      <c r="L373" s="8" t="n"/>
      <c r="M373" s="14">
        <f>IF($A373="","",$J373*$K373)</f>
        <v/>
      </c>
      <c r="N373" s="14">
        <f>IF($A373="","",$M373-$L373)</f>
        <v/>
      </c>
      <c r="O373" s="4" t="inlineStr">
        <is>
          <t>Card</t>
        </is>
      </c>
      <c r="P373" s="15">
        <f>IF($A373="","",DATE(YEAR($A373),MONTH($A373),1))</f>
        <v/>
      </c>
      <c r="Q373" s="16">
        <f>IF($H373="","",$J373*IFERROR(INDEX('Settings'!$L$10:$L$39,MATCH($H373,'Settings'!$I$10:$I$39,0)),0))</f>
        <v/>
      </c>
      <c r="R373" s="17">
        <f>IF($A373="","",$A373-WEEKDAY($A373,2)+1)</f>
        <v/>
      </c>
    </row>
    <row r="374">
      <c r="A374" s="5" t="n">
        <v>46236</v>
      </c>
      <c r="B374" s="4" t="inlineStr">
        <is>
          <t>Main branch</t>
        </is>
      </c>
      <c r="C374" s="4" t="inlineStr">
        <is>
          <t>Main 2</t>
        </is>
      </c>
      <c r="D374" s="4" t="inlineStr">
        <is>
          <t>Dr Sara Al Harbi</t>
        </is>
      </c>
      <c r="E374" s="4" t="inlineStr">
        <is>
          <t>P-2754</t>
        </is>
      </c>
      <c r="F374" s="4" t="inlineStr">
        <is>
          <t>Returning</t>
        </is>
      </c>
      <c r="G374" s="4" t="inlineStr">
        <is>
          <t>Google</t>
        </is>
      </c>
      <c r="H374" s="4" t="inlineStr">
        <is>
          <t>Specialist consultation</t>
        </is>
      </c>
      <c r="I374" s="9">
        <f>IF($H374="","",IFERROR(INDEX('Settings'!$J$10:$J$39,MATCH($H374,'Settings'!$I$10:$I$39,0)),""))</f>
        <v/>
      </c>
      <c r="J374" s="6" t="n">
        <v>1</v>
      </c>
      <c r="K374" s="8" t="n">
        <v>350</v>
      </c>
      <c r="L374" s="8" t="n"/>
      <c r="M374" s="14">
        <f>IF($A374="","",$J374*$K374)</f>
        <v/>
      </c>
      <c r="N374" s="14">
        <f>IF($A374="","",$M374-$L374)</f>
        <v/>
      </c>
      <c r="O374" s="4" t="inlineStr">
        <is>
          <t>Cash</t>
        </is>
      </c>
      <c r="P374" s="15">
        <f>IF($A374="","",DATE(YEAR($A374),MONTH($A374),1))</f>
        <v/>
      </c>
      <c r="Q374" s="16">
        <f>IF($H374="","",$J374*IFERROR(INDEX('Settings'!$L$10:$L$39,MATCH($H374,'Settings'!$I$10:$I$39,0)),0))</f>
        <v/>
      </c>
      <c r="R374" s="17">
        <f>IF($A374="","",$A374-WEEKDAY($A374,2)+1)</f>
        <v/>
      </c>
    </row>
    <row r="375">
      <c r="A375" s="5" t="n">
        <v>46236</v>
      </c>
      <c r="B375" s="4" t="inlineStr">
        <is>
          <t>Main branch</t>
        </is>
      </c>
      <c r="C375" s="4" t="inlineStr">
        <is>
          <t>Main 4</t>
        </is>
      </c>
      <c r="D375" s="4" t="inlineStr">
        <is>
          <t>Dr Sara Al Harbi</t>
        </is>
      </c>
      <c r="E375" s="4" t="inlineStr">
        <is>
          <t>P-2159</t>
        </is>
      </c>
      <c r="F375" s="4" t="inlineStr">
        <is>
          <t>Returning</t>
        </is>
      </c>
      <c r="G375" s="4" t="inlineStr">
        <is>
          <t>WhatsApp</t>
        </is>
      </c>
      <c r="H375" s="4" t="inlineStr">
        <is>
          <t>Chemical peel</t>
        </is>
      </c>
      <c r="I375" s="9">
        <f>IF($H375="","",IFERROR(INDEX('Settings'!$J$10:$J$39,MATCH($H375,'Settings'!$I$10:$I$39,0)),""))</f>
        <v/>
      </c>
      <c r="J375" s="6" t="n">
        <v>1</v>
      </c>
      <c r="K375" s="8" t="n">
        <v>800</v>
      </c>
      <c r="L375" s="8" t="n"/>
      <c r="M375" s="14">
        <f>IF($A375="","",$J375*$K375)</f>
        <v/>
      </c>
      <c r="N375" s="14">
        <f>IF($A375="","",$M375-$L375)</f>
        <v/>
      </c>
      <c r="O375" s="4" t="inlineStr">
        <is>
          <t>Card</t>
        </is>
      </c>
      <c r="P375" s="15">
        <f>IF($A375="","",DATE(YEAR($A375),MONTH($A375),1))</f>
        <v/>
      </c>
      <c r="Q375" s="16">
        <f>IF($H375="","",$J375*IFERROR(INDEX('Settings'!$L$10:$L$39,MATCH($H375,'Settings'!$I$10:$I$39,0)),0))</f>
        <v/>
      </c>
      <c r="R375" s="17">
        <f>IF($A375="","",$A375-WEEKDAY($A375,2)+1)</f>
        <v/>
      </c>
    </row>
    <row r="376">
      <c r="A376" s="5" t="n">
        <v>46236</v>
      </c>
      <c r="B376" s="4" t="inlineStr">
        <is>
          <t>Main branch</t>
        </is>
      </c>
      <c r="C376" s="4" t="inlineStr">
        <is>
          <t>Main 4</t>
        </is>
      </c>
      <c r="D376" s="4" t="inlineStr">
        <is>
          <t>Dr Sara Al Harbi</t>
        </is>
      </c>
      <c r="E376" s="4" t="inlineStr">
        <is>
          <t>P-3372</t>
        </is>
      </c>
      <c r="F376" s="4" t="inlineStr">
        <is>
          <t>Returning</t>
        </is>
      </c>
      <c r="G376" s="4" t="inlineStr">
        <is>
          <t>Instagram</t>
        </is>
      </c>
      <c r="H376" s="4" t="inlineStr">
        <is>
          <t>Specialist consultation</t>
        </is>
      </c>
      <c r="I376" s="9">
        <f>IF($H376="","",IFERROR(INDEX('Settings'!$J$10:$J$39,MATCH($H376,'Settings'!$I$10:$I$39,0)),""))</f>
        <v/>
      </c>
      <c r="J376" s="6" t="n">
        <v>1</v>
      </c>
      <c r="K376" s="8" t="n">
        <v>350</v>
      </c>
      <c r="L376" s="8" t="n"/>
      <c r="M376" s="14">
        <f>IF($A376="","",$J376*$K376)</f>
        <v/>
      </c>
      <c r="N376" s="14">
        <f>IF($A376="","",$M376-$L376)</f>
        <v/>
      </c>
      <c r="O376" s="4" t="inlineStr">
        <is>
          <t>Transfer</t>
        </is>
      </c>
      <c r="P376" s="15">
        <f>IF($A376="","",DATE(YEAR($A376),MONTH($A376),1))</f>
        <v/>
      </c>
      <c r="Q376" s="16">
        <f>IF($H376="","",$J376*IFERROR(INDEX('Settings'!$L$10:$L$39,MATCH($H376,'Settings'!$I$10:$I$39,0)),0))</f>
        <v/>
      </c>
      <c r="R376" s="17">
        <f>IF($A376="","",$A376-WEEKDAY($A376,2)+1)</f>
        <v/>
      </c>
    </row>
    <row r="377">
      <c r="A377" s="5" t="n">
        <v>46236</v>
      </c>
      <c r="B377" s="4" t="inlineStr">
        <is>
          <t>North branch</t>
        </is>
      </c>
      <c r="C377" s="4" t="inlineStr">
        <is>
          <t>North 1</t>
        </is>
      </c>
      <c r="D377" s="4" t="inlineStr">
        <is>
          <t>Dr Layla Al Qahtani</t>
        </is>
      </c>
      <c r="E377" s="4" t="inlineStr">
        <is>
          <t>P-2745</t>
        </is>
      </c>
      <c r="F377" s="4" t="inlineStr">
        <is>
          <t>Returning</t>
        </is>
      </c>
      <c r="G377" s="4" t="inlineStr">
        <is>
          <t>WhatsApp</t>
        </is>
      </c>
      <c r="H377" s="4" t="inlineStr">
        <is>
          <t>Chemical peel</t>
        </is>
      </c>
      <c r="I377" s="9">
        <f>IF($H377="","",IFERROR(INDEX('Settings'!$J$10:$J$39,MATCH($H377,'Settings'!$I$10:$I$39,0)),""))</f>
        <v/>
      </c>
      <c r="J377" s="6" t="n">
        <v>1</v>
      </c>
      <c r="K377" s="8" t="n">
        <v>800</v>
      </c>
      <c r="L377" s="8" t="n"/>
      <c r="M377" s="14">
        <f>IF($A377="","",$J377*$K377)</f>
        <v/>
      </c>
      <c r="N377" s="14">
        <f>IF($A377="","",$M377-$L377)</f>
        <v/>
      </c>
      <c r="O377" s="4" t="inlineStr">
        <is>
          <t>Card</t>
        </is>
      </c>
      <c r="P377" s="15">
        <f>IF($A377="","",DATE(YEAR($A377),MONTH($A377),1))</f>
        <v/>
      </c>
      <c r="Q377" s="16">
        <f>IF($H377="","",$J377*IFERROR(INDEX('Settings'!$L$10:$L$39,MATCH($H377,'Settings'!$I$10:$I$39,0)),0))</f>
        <v/>
      </c>
      <c r="R377" s="17">
        <f>IF($A377="","",$A377-WEEKDAY($A377,2)+1)</f>
        <v/>
      </c>
    </row>
    <row r="378">
      <c r="A378" s="5" t="n">
        <v>46236</v>
      </c>
      <c r="B378" s="4" t="inlineStr">
        <is>
          <t>North branch</t>
        </is>
      </c>
      <c r="C378" s="4" t="inlineStr">
        <is>
          <t>North 1</t>
        </is>
      </c>
      <c r="D378" s="4" t="inlineStr">
        <is>
          <t>Dr Mohamed Adel</t>
        </is>
      </c>
      <c r="E378" s="4" t="inlineStr">
        <is>
          <t>P-2726</t>
        </is>
      </c>
      <c r="F378" s="4" t="inlineStr">
        <is>
          <t>New</t>
        </is>
      </c>
      <c r="G378" s="4" t="inlineStr">
        <is>
          <t>Walk-in</t>
        </is>
      </c>
      <c r="H378" s="4" t="inlineStr">
        <is>
          <t>Laser session, face</t>
        </is>
      </c>
      <c r="I378" s="9">
        <f>IF($H378="","",IFERROR(INDEX('Settings'!$J$10:$J$39,MATCH($H378,'Settings'!$I$10:$I$39,0)),""))</f>
        <v/>
      </c>
      <c r="J378" s="6" t="n">
        <v>1</v>
      </c>
      <c r="K378" s="8" t="n">
        <v>600</v>
      </c>
      <c r="L378" s="8" t="n">
        <v>30</v>
      </c>
      <c r="M378" s="14">
        <f>IF($A378="","",$J378*$K378)</f>
        <v/>
      </c>
      <c r="N378" s="14">
        <f>IF($A378="","",$M378-$L378)</f>
        <v/>
      </c>
      <c r="O378" s="4" t="inlineStr">
        <is>
          <t>Cash</t>
        </is>
      </c>
      <c r="P378" s="15">
        <f>IF($A378="","",DATE(YEAR($A378),MONTH($A378),1))</f>
        <v/>
      </c>
      <c r="Q378" s="16">
        <f>IF($H378="","",$J378*IFERROR(INDEX('Settings'!$L$10:$L$39,MATCH($H378,'Settings'!$I$10:$I$39,0)),0))</f>
        <v/>
      </c>
      <c r="R378" s="17">
        <f>IF($A378="","",$A378-WEEKDAY($A378,2)+1)</f>
        <v/>
      </c>
    </row>
    <row r="379">
      <c r="A379" s="5" t="n">
        <v>46236</v>
      </c>
      <c r="B379" s="4" t="inlineStr">
        <is>
          <t>North branch</t>
        </is>
      </c>
      <c r="C379" s="4" t="inlineStr">
        <is>
          <t>North 1</t>
        </is>
      </c>
      <c r="D379" s="4" t="inlineStr">
        <is>
          <t>Dr Layla Al Qahtani</t>
        </is>
      </c>
      <c r="E379" s="4" t="inlineStr">
        <is>
          <t>P-3216</t>
        </is>
      </c>
      <c r="F379" s="4" t="inlineStr">
        <is>
          <t>Returning</t>
        </is>
      </c>
      <c r="G379" s="4" t="inlineStr">
        <is>
          <t>Google</t>
        </is>
      </c>
      <c r="H379" s="4" t="inlineStr">
        <is>
          <t>Sunscreen cream</t>
        </is>
      </c>
      <c r="I379" s="9">
        <f>IF($H379="","",IFERROR(INDEX('Settings'!$J$10:$J$39,MATCH($H379,'Settings'!$I$10:$I$39,0)),""))</f>
        <v/>
      </c>
      <c r="J379" s="6" t="n">
        <v>1</v>
      </c>
      <c r="K379" s="8" t="n">
        <v>120</v>
      </c>
      <c r="L379" s="8" t="n"/>
      <c r="M379" s="14">
        <f>IF($A379="","",$J379*$K379)</f>
        <v/>
      </c>
      <c r="N379" s="14">
        <f>IF($A379="","",$M379-$L379)</f>
        <v/>
      </c>
      <c r="O379" s="4" t="inlineStr">
        <is>
          <t>Cash</t>
        </is>
      </c>
      <c r="P379" s="15">
        <f>IF($A379="","",DATE(YEAR($A379),MONTH($A379),1))</f>
        <v/>
      </c>
      <c r="Q379" s="16">
        <f>IF($H379="","",$J379*IFERROR(INDEX('Settings'!$L$10:$L$39,MATCH($H379,'Settings'!$I$10:$I$39,0)),0))</f>
        <v/>
      </c>
      <c r="R379" s="17">
        <f>IF($A379="","",$A379-WEEKDAY($A379,2)+1)</f>
        <v/>
      </c>
    </row>
    <row r="380">
      <c r="A380" s="5" t="n">
        <v>46236</v>
      </c>
      <c r="B380" s="4" t="inlineStr">
        <is>
          <t>North branch</t>
        </is>
      </c>
      <c r="C380" s="4" t="inlineStr">
        <is>
          <t>North 1</t>
        </is>
      </c>
      <c r="D380" s="4" t="inlineStr">
        <is>
          <t>Dr Khaled Youssef</t>
        </is>
      </c>
      <c r="E380" s="4" t="inlineStr">
        <is>
          <t>P-2420</t>
        </is>
      </c>
      <c r="F380" s="4" t="inlineStr">
        <is>
          <t>New</t>
        </is>
      </c>
      <c r="G380" s="4" t="inlineStr">
        <is>
          <t>Referral</t>
        </is>
      </c>
      <c r="H380" s="4" t="inlineStr">
        <is>
          <t>Filler injection</t>
        </is>
      </c>
      <c r="I380" s="9">
        <f>IF($H380="","",IFERROR(INDEX('Settings'!$J$10:$J$39,MATCH($H380,'Settings'!$I$10:$I$39,0)),""))</f>
        <v/>
      </c>
      <c r="J380" s="6" t="n">
        <v>1</v>
      </c>
      <c r="K380" s="8" t="n">
        <v>1800</v>
      </c>
      <c r="L380" s="8" t="n"/>
      <c r="M380" s="14">
        <f>IF($A380="","",$J380*$K380)</f>
        <v/>
      </c>
      <c r="N380" s="14">
        <f>IF($A380="","",$M380-$L380)</f>
        <v/>
      </c>
      <c r="O380" s="4" t="inlineStr">
        <is>
          <t>Cash</t>
        </is>
      </c>
      <c r="P380" s="15">
        <f>IF($A380="","",DATE(YEAR($A380),MONTH($A380),1))</f>
        <v/>
      </c>
      <c r="Q380" s="16">
        <f>IF($H380="","",$J380*IFERROR(INDEX('Settings'!$L$10:$L$39,MATCH($H380,'Settings'!$I$10:$I$39,0)),0))</f>
        <v/>
      </c>
      <c r="R380" s="17">
        <f>IF($A380="","",$A380-WEEKDAY($A380,2)+1)</f>
        <v/>
      </c>
    </row>
    <row r="381">
      <c r="A381" s="5" t="n">
        <v>46236</v>
      </c>
      <c r="B381" s="4" t="inlineStr">
        <is>
          <t>North branch</t>
        </is>
      </c>
      <c r="C381" s="4" t="inlineStr">
        <is>
          <t>North 2</t>
        </is>
      </c>
      <c r="D381" s="4" t="inlineStr">
        <is>
          <t>Dr Mohamed Adel</t>
        </is>
      </c>
      <c r="E381" s="4" t="inlineStr">
        <is>
          <t>P-2408</t>
        </is>
      </c>
      <c r="F381" s="4" t="inlineStr">
        <is>
          <t>New</t>
        </is>
      </c>
      <c r="G381" s="4" t="inlineStr">
        <is>
          <t>Walk-in</t>
        </is>
      </c>
      <c r="H381" s="4" t="inlineStr">
        <is>
          <t>Sunscreen cream</t>
        </is>
      </c>
      <c r="I381" s="9">
        <f>IF($H381="","",IFERROR(INDEX('Settings'!$J$10:$J$39,MATCH($H381,'Settings'!$I$10:$I$39,0)),""))</f>
        <v/>
      </c>
      <c r="J381" s="6" t="n">
        <v>1</v>
      </c>
      <c r="K381" s="8" t="n">
        <v>120</v>
      </c>
      <c r="L381" s="8" t="n">
        <v>10</v>
      </c>
      <c r="M381" s="14">
        <f>IF($A381="","",$J381*$K381)</f>
        <v/>
      </c>
      <c r="N381" s="14">
        <f>IF($A381="","",$M381-$L381)</f>
        <v/>
      </c>
      <c r="O381" s="4" t="inlineStr">
        <is>
          <t>Card</t>
        </is>
      </c>
      <c r="P381" s="15">
        <f>IF($A381="","",DATE(YEAR($A381),MONTH($A381),1))</f>
        <v/>
      </c>
      <c r="Q381" s="16">
        <f>IF($H381="","",$J381*IFERROR(INDEX('Settings'!$L$10:$L$39,MATCH($H381,'Settings'!$I$10:$I$39,0)),0))</f>
        <v/>
      </c>
      <c r="R381" s="17">
        <f>IF($A381="","",$A381-WEEKDAY($A381,2)+1)</f>
        <v/>
      </c>
    </row>
    <row r="382">
      <c r="A382" s="5" t="n">
        <v>46236</v>
      </c>
      <c r="B382" s="4" t="inlineStr">
        <is>
          <t>North branch</t>
        </is>
      </c>
      <c r="C382" s="4" t="inlineStr">
        <is>
          <t>North 2</t>
        </is>
      </c>
      <c r="D382" s="4" t="inlineStr">
        <is>
          <t>Dr Khaled Youssef</t>
        </is>
      </c>
      <c r="E382" s="4" t="inlineStr">
        <is>
          <t>P-2745</t>
        </is>
      </c>
      <c r="F382" s="4" t="inlineStr">
        <is>
          <t>New</t>
        </is>
      </c>
      <c r="G382" s="4" t="inlineStr">
        <is>
          <t>Referral</t>
        </is>
      </c>
      <c r="H382" s="4" t="inlineStr">
        <is>
          <t>Specialist consultation</t>
        </is>
      </c>
      <c r="I382" s="9">
        <f>IF($H382="","",IFERROR(INDEX('Settings'!$J$10:$J$39,MATCH($H382,'Settings'!$I$10:$I$39,0)),""))</f>
        <v/>
      </c>
      <c r="J382" s="6" t="n">
        <v>1</v>
      </c>
      <c r="K382" s="8" t="n">
        <v>350</v>
      </c>
      <c r="L382" s="8" t="n"/>
      <c r="M382" s="14">
        <f>IF($A382="","",$J382*$K382)</f>
        <v/>
      </c>
      <c r="N382" s="14">
        <f>IF($A382="","",$M382-$L382)</f>
        <v/>
      </c>
      <c r="O382" s="4" t="inlineStr">
        <is>
          <t>Insurance</t>
        </is>
      </c>
      <c r="P382" s="15">
        <f>IF($A382="","",DATE(YEAR($A382),MONTH($A382),1))</f>
        <v/>
      </c>
      <c r="Q382" s="16">
        <f>IF($H382="","",$J382*IFERROR(INDEX('Settings'!$L$10:$L$39,MATCH($H382,'Settings'!$I$10:$I$39,0)),0))</f>
        <v/>
      </c>
      <c r="R382" s="17">
        <f>IF($A382="","",$A382-WEEKDAY($A382,2)+1)</f>
        <v/>
      </c>
    </row>
    <row r="383">
      <c r="A383" s="5" t="n">
        <v>46236</v>
      </c>
      <c r="B383" s="4" t="inlineStr">
        <is>
          <t>North branch</t>
        </is>
      </c>
      <c r="C383" s="4" t="inlineStr">
        <is>
          <t>North 2</t>
        </is>
      </c>
      <c r="D383" s="4" t="inlineStr">
        <is>
          <t>Dr Layla Al Qahtani</t>
        </is>
      </c>
      <c r="E383" s="4" t="inlineStr">
        <is>
          <t>P-2342</t>
        </is>
      </c>
      <c r="F383" s="4" t="inlineStr">
        <is>
          <t>Returning</t>
        </is>
      </c>
      <c r="G383" s="4" t="inlineStr">
        <is>
          <t>Instagram</t>
        </is>
      </c>
      <c r="H383" s="4" t="inlineStr">
        <is>
          <t>Follow-up visit</t>
        </is>
      </c>
      <c r="I383" s="9">
        <f>IF($H383="","",IFERROR(INDEX('Settings'!$J$10:$J$39,MATCH($H383,'Settings'!$I$10:$I$39,0)),""))</f>
        <v/>
      </c>
      <c r="J383" s="6" t="n">
        <v>1</v>
      </c>
      <c r="K383" s="8" t="n">
        <v>150</v>
      </c>
      <c r="L383" s="8" t="n"/>
      <c r="M383" s="14">
        <f>IF($A383="","",$J383*$K383)</f>
        <v/>
      </c>
      <c r="N383" s="14">
        <f>IF($A383="","",$M383-$L383)</f>
        <v/>
      </c>
      <c r="O383" s="4" t="inlineStr">
        <is>
          <t>Insurance</t>
        </is>
      </c>
      <c r="P383" s="15">
        <f>IF($A383="","",DATE(YEAR($A383),MONTH($A383),1))</f>
        <v/>
      </c>
      <c r="Q383" s="16">
        <f>IF($H383="","",$J383*IFERROR(INDEX('Settings'!$L$10:$L$39,MATCH($H383,'Settings'!$I$10:$I$39,0)),0))</f>
        <v/>
      </c>
      <c r="R383" s="17">
        <f>IF($A383="","",$A383-WEEKDAY($A383,2)+1)</f>
        <v/>
      </c>
    </row>
    <row r="384">
      <c r="A384" s="5" t="n">
        <v>46237</v>
      </c>
      <c r="B384" s="4" t="inlineStr">
        <is>
          <t>Main branch</t>
        </is>
      </c>
      <c r="C384" s="4" t="inlineStr">
        <is>
          <t>Main 3</t>
        </is>
      </c>
      <c r="D384" s="4" t="inlineStr">
        <is>
          <t>Dr Noura Al Subaie</t>
        </is>
      </c>
      <c r="E384" s="4" t="inlineStr">
        <is>
          <t>P-2197</t>
        </is>
      </c>
      <c r="F384" s="4" t="inlineStr">
        <is>
          <t>Returning</t>
        </is>
      </c>
      <c r="G384" s="4" t="inlineStr">
        <is>
          <t>Referral</t>
        </is>
      </c>
      <c r="H384" s="4" t="inlineStr">
        <is>
          <t>Laser session, face</t>
        </is>
      </c>
      <c r="I384" s="9">
        <f>IF($H384="","",IFERROR(INDEX('Settings'!$J$10:$J$39,MATCH($H384,'Settings'!$I$10:$I$39,0)),""))</f>
        <v/>
      </c>
      <c r="J384" s="6" t="n">
        <v>1</v>
      </c>
      <c r="K384" s="8" t="n">
        <v>600</v>
      </c>
      <c r="L384" s="8" t="n"/>
      <c r="M384" s="14">
        <f>IF($A384="","",$J384*$K384)</f>
        <v/>
      </c>
      <c r="N384" s="14">
        <f>IF($A384="","",$M384-$L384)</f>
        <v/>
      </c>
      <c r="O384" s="4" t="inlineStr">
        <is>
          <t>Cash</t>
        </is>
      </c>
      <c r="P384" s="15">
        <f>IF($A384="","",DATE(YEAR($A384),MONTH($A384),1))</f>
        <v/>
      </c>
      <c r="Q384" s="16">
        <f>IF($H384="","",$J384*IFERROR(INDEX('Settings'!$L$10:$L$39,MATCH($H384,'Settings'!$I$10:$I$39,0)),0))</f>
        <v/>
      </c>
      <c r="R384" s="17">
        <f>IF($A384="","",$A384-WEEKDAY($A384,2)+1)</f>
        <v/>
      </c>
    </row>
    <row r="385">
      <c r="A385" s="5" t="n">
        <v>46237</v>
      </c>
      <c r="B385" s="4" t="inlineStr">
        <is>
          <t>Main branch</t>
        </is>
      </c>
      <c r="C385" s="4" t="inlineStr">
        <is>
          <t>Main 4</t>
        </is>
      </c>
      <c r="D385" s="4" t="inlineStr">
        <is>
          <t>Dr Sara Al Harbi</t>
        </is>
      </c>
      <c r="E385" s="4" t="inlineStr">
        <is>
          <t>P-2679</t>
        </is>
      </c>
      <c r="F385" s="4" t="inlineStr">
        <is>
          <t>Returning</t>
        </is>
      </c>
      <c r="G385" s="4" t="inlineStr">
        <is>
          <t>Google</t>
        </is>
      </c>
      <c r="H385" s="4" t="inlineStr">
        <is>
          <t>Facial cleansing</t>
        </is>
      </c>
      <c r="I385" s="9">
        <f>IF($H385="","",IFERROR(INDEX('Settings'!$J$10:$J$39,MATCH($H385,'Settings'!$I$10:$I$39,0)),""))</f>
        <v/>
      </c>
      <c r="J385" s="6" t="n">
        <v>1</v>
      </c>
      <c r="K385" s="8" t="n">
        <v>400</v>
      </c>
      <c r="L385" s="8" t="n"/>
      <c r="M385" s="14">
        <f>IF($A385="","",$J385*$K385)</f>
        <v/>
      </c>
      <c r="N385" s="14">
        <f>IF($A385="","",$M385-$L385)</f>
        <v/>
      </c>
      <c r="O385" s="4" t="inlineStr">
        <is>
          <t>Card</t>
        </is>
      </c>
      <c r="P385" s="15">
        <f>IF($A385="","",DATE(YEAR($A385),MONTH($A385),1))</f>
        <v/>
      </c>
      <c r="Q385" s="16">
        <f>IF($H385="","",$J385*IFERROR(INDEX('Settings'!$L$10:$L$39,MATCH($H385,'Settings'!$I$10:$I$39,0)),0))</f>
        <v/>
      </c>
      <c r="R385" s="17">
        <f>IF($A385="","",$A385-WEEKDAY($A385,2)+1)</f>
        <v/>
      </c>
    </row>
    <row r="386">
      <c r="A386" s="5" t="n">
        <v>46237</v>
      </c>
      <c r="B386" s="4" t="inlineStr">
        <is>
          <t>Main branch</t>
        </is>
      </c>
      <c r="C386" s="4" t="inlineStr">
        <is>
          <t>Main 4</t>
        </is>
      </c>
      <c r="D386" s="4" t="inlineStr">
        <is>
          <t>Dr Noura Al Subaie</t>
        </is>
      </c>
      <c r="E386" s="4" t="inlineStr">
        <is>
          <t>P-3282</t>
        </is>
      </c>
      <c r="F386" s="4" t="inlineStr">
        <is>
          <t>New</t>
        </is>
      </c>
      <c r="G386" s="4" t="inlineStr">
        <is>
          <t>Walk-in</t>
        </is>
      </c>
      <c r="H386" s="4" t="inlineStr">
        <is>
          <t>Follow-up visit</t>
        </is>
      </c>
      <c r="I386" s="9">
        <f>IF($H386="","",IFERROR(INDEX('Settings'!$J$10:$J$39,MATCH($H386,'Settings'!$I$10:$I$39,0)),""))</f>
        <v/>
      </c>
      <c r="J386" s="6" t="n">
        <v>1</v>
      </c>
      <c r="K386" s="8" t="n">
        <v>150</v>
      </c>
      <c r="L386" s="8" t="n"/>
      <c r="M386" s="14">
        <f>IF($A386="","",$J386*$K386)</f>
        <v/>
      </c>
      <c r="N386" s="14">
        <f>IF($A386="","",$M386-$L386)</f>
        <v/>
      </c>
      <c r="O386" s="4" t="inlineStr">
        <is>
          <t>Insurance</t>
        </is>
      </c>
      <c r="P386" s="15">
        <f>IF($A386="","",DATE(YEAR($A386),MONTH($A386),1))</f>
        <v/>
      </c>
      <c r="Q386" s="16">
        <f>IF($H386="","",$J386*IFERROR(INDEX('Settings'!$L$10:$L$39,MATCH($H386,'Settings'!$I$10:$I$39,0)),0))</f>
        <v/>
      </c>
      <c r="R386" s="17">
        <f>IF($A386="","",$A386-WEEKDAY($A386,2)+1)</f>
        <v/>
      </c>
    </row>
    <row r="387">
      <c r="A387" s="5" t="n">
        <v>46237</v>
      </c>
      <c r="B387" s="4" t="inlineStr">
        <is>
          <t>Main branch</t>
        </is>
      </c>
      <c r="C387" s="4" t="inlineStr">
        <is>
          <t>Main 4</t>
        </is>
      </c>
      <c r="D387" s="4" t="inlineStr">
        <is>
          <t>Dr Sara Al Harbi</t>
        </is>
      </c>
      <c r="E387" s="4" t="inlineStr">
        <is>
          <t>P-2985</t>
        </is>
      </c>
      <c r="F387" s="4" t="inlineStr">
        <is>
          <t>Returning</t>
        </is>
      </c>
      <c r="G387" s="4" t="inlineStr">
        <is>
          <t>Google</t>
        </is>
      </c>
      <c r="H387" s="4" t="inlineStr">
        <is>
          <t>Specialist consultation</t>
        </is>
      </c>
      <c r="I387" s="9">
        <f>IF($H387="","",IFERROR(INDEX('Settings'!$J$10:$J$39,MATCH($H387,'Settings'!$I$10:$I$39,0)),""))</f>
        <v/>
      </c>
      <c r="J387" s="6" t="n">
        <v>1</v>
      </c>
      <c r="K387" s="8" t="n">
        <v>350</v>
      </c>
      <c r="L387" s="8" t="n"/>
      <c r="M387" s="14">
        <f>IF($A387="","",$J387*$K387)</f>
        <v/>
      </c>
      <c r="N387" s="14">
        <f>IF($A387="","",$M387-$L387)</f>
        <v/>
      </c>
      <c r="O387" s="4" t="inlineStr">
        <is>
          <t>Payment link</t>
        </is>
      </c>
      <c r="P387" s="15">
        <f>IF($A387="","",DATE(YEAR($A387),MONTH($A387),1))</f>
        <v/>
      </c>
      <c r="Q387" s="16">
        <f>IF($H387="","",$J387*IFERROR(INDEX('Settings'!$L$10:$L$39,MATCH($H387,'Settings'!$I$10:$I$39,0)),0))</f>
        <v/>
      </c>
      <c r="R387" s="17">
        <f>IF($A387="","",$A387-WEEKDAY($A387,2)+1)</f>
        <v/>
      </c>
    </row>
    <row r="388">
      <c r="A388" s="5" t="n">
        <v>46237</v>
      </c>
      <c r="B388" s="4" t="inlineStr">
        <is>
          <t>North branch</t>
        </is>
      </c>
      <c r="C388" s="4" t="inlineStr">
        <is>
          <t>North 1</t>
        </is>
      </c>
      <c r="D388" s="4" t="inlineStr">
        <is>
          <t>Dr Khaled Youssef</t>
        </is>
      </c>
      <c r="E388" s="4" t="inlineStr">
        <is>
          <t>P-3142</t>
        </is>
      </c>
      <c r="F388" s="4" t="inlineStr">
        <is>
          <t>Returning</t>
        </is>
      </c>
      <c r="G388" s="4" t="inlineStr">
        <is>
          <t>WhatsApp</t>
        </is>
      </c>
      <c r="H388" s="4" t="inlineStr">
        <is>
          <t>Specialist consultation</t>
        </is>
      </c>
      <c r="I388" s="9">
        <f>IF($H388="","",IFERROR(INDEX('Settings'!$J$10:$J$39,MATCH($H388,'Settings'!$I$10:$I$39,0)),""))</f>
        <v/>
      </c>
      <c r="J388" s="6" t="n">
        <v>1</v>
      </c>
      <c r="K388" s="8" t="n">
        <v>350</v>
      </c>
      <c r="L388" s="8" t="n"/>
      <c r="M388" s="14">
        <f>IF($A388="","",$J388*$K388)</f>
        <v/>
      </c>
      <c r="N388" s="14">
        <f>IF($A388="","",$M388-$L388)</f>
        <v/>
      </c>
      <c r="O388" s="4" t="inlineStr">
        <is>
          <t>Card</t>
        </is>
      </c>
      <c r="P388" s="15">
        <f>IF($A388="","",DATE(YEAR($A388),MONTH($A388),1))</f>
        <v/>
      </c>
      <c r="Q388" s="16">
        <f>IF($H388="","",$J388*IFERROR(INDEX('Settings'!$L$10:$L$39,MATCH($H388,'Settings'!$I$10:$I$39,0)),0))</f>
        <v/>
      </c>
      <c r="R388" s="17">
        <f>IF($A388="","",$A388-WEEKDAY($A388,2)+1)</f>
        <v/>
      </c>
    </row>
    <row r="389">
      <c r="A389" s="5" t="n">
        <v>46237</v>
      </c>
      <c r="B389" s="4" t="inlineStr">
        <is>
          <t>North branch</t>
        </is>
      </c>
      <c r="C389" s="4" t="inlineStr">
        <is>
          <t>North 1</t>
        </is>
      </c>
      <c r="D389" s="4" t="inlineStr">
        <is>
          <t>Dr Khaled Youssef</t>
        </is>
      </c>
      <c r="E389" s="4" t="inlineStr">
        <is>
          <t>P-2999</t>
        </is>
      </c>
      <c r="F389" s="4" t="inlineStr">
        <is>
          <t>New</t>
        </is>
      </c>
      <c r="G389" s="4" t="inlineStr">
        <is>
          <t>Google</t>
        </is>
      </c>
      <c r="H389" s="4" t="inlineStr">
        <is>
          <t>Sunscreen cream</t>
        </is>
      </c>
      <c r="I389" s="9">
        <f>IF($H389="","",IFERROR(INDEX('Settings'!$J$10:$J$39,MATCH($H389,'Settings'!$I$10:$I$39,0)),""))</f>
        <v/>
      </c>
      <c r="J389" s="6" t="n">
        <v>1</v>
      </c>
      <c r="K389" s="8" t="n">
        <v>120</v>
      </c>
      <c r="L389" s="8" t="n">
        <v>10</v>
      </c>
      <c r="M389" s="14">
        <f>IF($A389="","",$J389*$K389)</f>
        <v/>
      </c>
      <c r="N389" s="14">
        <f>IF($A389="","",$M389-$L389)</f>
        <v/>
      </c>
      <c r="O389" s="4" t="inlineStr">
        <is>
          <t>Card</t>
        </is>
      </c>
      <c r="P389" s="15">
        <f>IF($A389="","",DATE(YEAR($A389),MONTH($A389),1))</f>
        <v/>
      </c>
      <c r="Q389" s="16">
        <f>IF($H389="","",$J389*IFERROR(INDEX('Settings'!$L$10:$L$39,MATCH($H389,'Settings'!$I$10:$I$39,0)),0))</f>
        <v/>
      </c>
      <c r="R389" s="17">
        <f>IF($A389="","",$A389-WEEKDAY($A389,2)+1)</f>
        <v/>
      </c>
    </row>
    <row r="390">
      <c r="A390" s="5" t="n">
        <v>46237</v>
      </c>
      <c r="B390" s="4" t="inlineStr">
        <is>
          <t>North branch</t>
        </is>
      </c>
      <c r="C390" s="4" t="inlineStr">
        <is>
          <t>North 2</t>
        </is>
      </c>
      <c r="D390" s="4" t="inlineStr">
        <is>
          <t>Dr Khaled Youssef</t>
        </is>
      </c>
      <c r="E390" s="4" t="inlineStr">
        <is>
          <t>P-3057</t>
        </is>
      </c>
      <c r="F390" s="4" t="inlineStr">
        <is>
          <t>Returning</t>
        </is>
      </c>
      <c r="G390" s="4" t="inlineStr">
        <is>
          <t>WhatsApp</t>
        </is>
      </c>
      <c r="H390" s="4" t="inlineStr">
        <is>
          <t>Laser session, face</t>
        </is>
      </c>
      <c r="I390" s="9">
        <f>IF($H390="","",IFERROR(INDEX('Settings'!$J$10:$J$39,MATCH($H390,'Settings'!$I$10:$I$39,0)),""))</f>
        <v/>
      </c>
      <c r="J390" s="6" t="n">
        <v>1</v>
      </c>
      <c r="K390" s="8" t="n">
        <v>600</v>
      </c>
      <c r="L390" s="8" t="n">
        <v>30</v>
      </c>
      <c r="M390" s="14">
        <f>IF($A390="","",$J390*$K390)</f>
        <v/>
      </c>
      <c r="N390" s="14">
        <f>IF($A390="","",$M390-$L390)</f>
        <v/>
      </c>
      <c r="O390" s="4" t="inlineStr">
        <is>
          <t>Card</t>
        </is>
      </c>
      <c r="P390" s="15">
        <f>IF($A390="","",DATE(YEAR($A390),MONTH($A390),1))</f>
        <v/>
      </c>
      <c r="Q390" s="16">
        <f>IF($H390="","",$J390*IFERROR(INDEX('Settings'!$L$10:$L$39,MATCH($H390,'Settings'!$I$10:$I$39,0)),0))</f>
        <v/>
      </c>
      <c r="R390" s="17">
        <f>IF($A390="","",$A390-WEEKDAY($A390,2)+1)</f>
        <v/>
      </c>
    </row>
    <row r="391">
      <c r="A391" s="5" t="n">
        <v>46237</v>
      </c>
      <c r="B391" s="4" t="inlineStr">
        <is>
          <t>North branch</t>
        </is>
      </c>
      <c r="C391" s="4" t="inlineStr">
        <is>
          <t>North 2</t>
        </is>
      </c>
      <c r="D391" s="4" t="inlineStr">
        <is>
          <t>Dr Khaled Youssef</t>
        </is>
      </c>
      <c r="E391" s="4" t="inlineStr">
        <is>
          <t>P-2611</t>
        </is>
      </c>
      <c r="F391" s="4" t="inlineStr">
        <is>
          <t>Returning</t>
        </is>
      </c>
      <c r="G391" s="4" t="inlineStr">
        <is>
          <t>Instagram</t>
        </is>
      </c>
      <c r="H391" s="4" t="inlineStr">
        <is>
          <t>Sunscreen cream</t>
        </is>
      </c>
      <c r="I391" s="9">
        <f>IF($H391="","",IFERROR(INDEX('Settings'!$J$10:$J$39,MATCH($H391,'Settings'!$I$10:$I$39,0)),""))</f>
        <v/>
      </c>
      <c r="J391" s="6" t="n">
        <v>1</v>
      </c>
      <c r="K391" s="8" t="n">
        <v>120</v>
      </c>
      <c r="L391" s="8" t="n">
        <v>10</v>
      </c>
      <c r="M391" s="14">
        <f>IF($A391="","",$J391*$K391)</f>
        <v/>
      </c>
      <c r="N391" s="14">
        <f>IF($A391="","",$M391-$L391)</f>
        <v/>
      </c>
      <c r="O391" s="4" t="inlineStr">
        <is>
          <t>Cash</t>
        </is>
      </c>
      <c r="P391" s="15">
        <f>IF($A391="","",DATE(YEAR($A391),MONTH($A391),1))</f>
        <v/>
      </c>
      <c r="Q391" s="16">
        <f>IF($H391="","",$J391*IFERROR(INDEX('Settings'!$L$10:$L$39,MATCH($H391,'Settings'!$I$10:$I$39,0)),0))</f>
        <v/>
      </c>
      <c r="R391" s="17">
        <f>IF($A391="","",$A391-WEEKDAY($A391,2)+1)</f>
        <v/>
      </c>
    </row>
    <row r="392">
      <c r="A392" s="5" t="n">
        <v>46238</v>
      </c>
      <c r="B392" s="4" t="inlineStr">
        <is>
          <t>Main branch</t>
        </is>
      </c>
      <c r="C392" s="4" t="inlineStr">
        <is>
          <t>Main 1</t>
        </is>
      </c>
      <c r="D392" s="4" t="inlineStr">
        <is>
          <t>Dr Sara Al Harbi</t>
        </is>
      </c>
      <c r="E392" s="4" t="inlineStr">
        <is>
          <t>P-2638</t>
        </is>
      </c>
      <c r="F392" s="4" t="inlineStr">
        <is>
          <t>Returning</t>
        </is>
      </c>
      <c r="G392" s="4" t="inlineStr">
        <is>
          <t>Google</t>
        </is>
      </c>
      <c r="H392" s="4" t="inlineStr">
        <is>
          <t>Follow-up visit</t>
        </is>
      </c>
      <c r="I392" s="9">
        <f>IF($H392="","",IFERROR(INDEX('Settings'!$J$10:$J$39,MATCH($H392,'Settings'!$I$10:$I$39,0)),""))</f>
        <v/>
      </c>
      <c r="J392" s="6" t="n">
        <v>1</v>
      </c>
      <c r="K392" s="8" t="n">
        <v>150</v>
      </c>
      <c r="L392" s="8" t="n"/>
      <c r="M392" s="14">
        <f>IF($A392="","",$J392*$K392)</f>
        <v/>
      </c>
      <c r="N392" s="14">
        <f>IF($A392="","",$M392-$L392)</f>
        <v/>
      </c>
      <c r="O392" s="4" t="inlineStr">
        <is>
          <t>Payment link</t>
        </is>
      </c>
      <c r="P392" s="15">
        <f>IF($A392="","",DATE(YEAR($A392),MONTH($A392),1))</f>
        <v/>
      </c>
      <c r="Q392" s="16">
        <f>IF($H392="","",$J392*IFERROR(INDEX('Settings'!$L$10:$L$39,MATCH($H392,'Settings'!$I$10:$I$39,0)),0))</f>
        <v/>
      </c>
      <c r="R392" s="17">
        <f>IF($A392="","",$A392-WEEKDAY($A392,2)+1)</f>
        <v/>
      </c>
    </row>
    <row r="393">
      <c r="A393" s="5" t="n">
        <v>46238</v>
      </c>
      <c r="B393" s="4" t="inlineStr">
        <is>
          <t>Main branch</t>
        </is>
      </c>
      <c r="C393" s="4" t="inlineStr">
        <is>
          <t>Main 1</t>
        </is>
      </c>
      <c r="D393" s="4" t="inlineStr">
        <is>
          <t>Dr Sara Al Harbi</t>
        </is>
      </c>
      <c r="E393" s="4" t="inlineStr">
        <is>
          <t>P-2657</t>
        </is>
      </c>
      <c r="F393" s="4" t="inlineStr">
        <is>
          <t>Returning</t>
        </is>
      </c>
      <c r="G393" s="4" t="inlineStr">
        <is>
          <t>Walk-in</t>
        </is>
      </c>
      <c r="H393" s="4" t="inlineStr">
        <is>
          <t>Specialist consultation</t>
        </is>
      </c>
      <c r="I393" s="9">
        <f>IF($H393="","",IFERROR(INDEX('Settings'!$J$10:$J$39,MATCH($H393,'Settings'!$I$10:$I$39,0)),""))</f>
        <v/>
      </c>
      <c r="J393" s="6" t="n">
        <v>1</v>
      </c>
      <c r="K393" s="8" t="n">
        <v>350</v>
      </c>
      <c r="L393" s="8" t="n"/>
      <c r="M393" s="14">
        <f>IF($A393="","",$J393*$K393)</f>
        <v/>
      </c>
      <c r="N393" s="14">
        <f>IF($A393="","",$M393-$L393)</f>
        <v/>
      </c>
      <c r="O393" s="4" t="inlineStr">
        <is>
          <t>Cash</t>
        </is>
      </c>
      <c r="P393" s="15">
        <f>IF($A393="","",DATE(YEAR($A393),MONTH($A393),1))</f>
        <v/>
      </c>
      <c r="Q393" s="16">
        <f>IF($H393="","",$J393*IFERROR(INDEX('Settings'!$L$10:$L$39,MATCH($H393,'Settings'!$I$10:$I$39,0)),0))</f>
        <v/>
      </c>
      <c r="R393" s="17">
        <f>IF($A393="","",$A393-WEEKDAY($A393,2)+1)</f>
        <v/>
      </c>
    </row>
    <row r="394">
      <c r="A394" s="5" t="n">
        <v>46238</v>
      </c>
      <c r="B394" s="4" t="inlineStr">
        <is>
          <t>Main branch</t>
        </is>
      </c>
      <c r="C394" s="4" t="inlineStr">
        <is>
          <t>Main 1</t>
        </is>
      </c>
      <c r="D394" s="4" t="inlineStr">
        <is>
          <t>Dr Sara Al Harbi</t>
        </is>
      </c>
      <c r="E394" s="4" t="inlineStr">
        <is>
          <t>P-2742</t>
        </is>
      </c>
      <c r="F394" s="4" t="inlineStr">
        <is>
          <t>Returning</t>
        </is>
      </c>
      <c r="G394" s="4" t="inlineStr">
        <is>
          <t>Referral</t>
        </is>
      </c>
      <c r="H394" s="4" t="inlineStr">
        <is>
          <t>Laser session, face</t>
        </is>
      </c>
      <c r="I394" s="9">
        <f>IF($H394="","",IFERROR(INDEX('Settings'!$J$10:$J$39,MATCH($H394,'Settings'!$I$10:$I$39,0)),""))</f>
        <v/>
      </c>
      <c r="J394" s="6" t="n">
        <v>1</v>
      </c>
      <c r="K394" s="8" t="n">
        <v>600</v>
      </c>
      <c r="L394" s="8" t="n"/>
      <c r="M394" s="14">
        <f>IF($A394="","",$J394*$K394)</f>
        <v/>
      </c>
      <c r="N394" s="14">
        <f>IF($A394="","",$M394-$L394)</f>
        <v/>
      </c>
      <c r="O394" s="4" t="inlineStr">
        <is>
          <t>Card</t>
        </is>
      </c>
      <c r="P394" s="15">
        <f>IF($A394="","",DATE(YEAR($A394),MONTH($A394),1))</f>
        <v/>
      </c>
      <c r="Q394" s="16">
        <f>IF($H394="","",$J394*IFERROR(INDEX('Settings'!$L$10:$L$39,MATCH($H394,'Settings'!$I$10:$I$39,0)),0))</f>
        <v/>
      </c>
      <c r="R394" s="17">
        <f>IF($A394="","",$A394-WEEKDAY($A394,2)+1)</f>
        <v/>
      </c>
    </row>
    <row r="395">
      <c r="A395" s="5" t="n">
        <v>46238</v>
      </c>
      <c r="B395" s="4" t="inlineStr">
        <is>
          <t>Main branch</t>
        </is>
      </c>
      <c r="C395" s="4" t="inlineStr">
        <is>
          <t>Main 3</t>
        </is>
      </c>
      <c r="D395" s="4" t="inlineStr">
        <is>
          <t>Dr Noura Al Subaie</t>
        </is>
      </c>
      <c r="E395" s="4" t="inlineStr">
        <is>
          <t>P-2328</t>
        </is>
      </c>
      <c r="F395" s="4" t="inlineStr">
        <is>
          <t>Returning</t>
        </is>
      </c>
      <c r="G395" s="4" t="inlineStr">
        <is>
          <t>WhatsApp</t>
        </is>
      </c>
      <c r="H395" s="4" t="inlineStr">
        <is>
          <t>Sunscreen cream</t>
        </is>
      </c>
      <c r="I395" s="9">
        <f>IF($H395="","",IFERROR(INDEX('Settings'!$J$10:$J$39,MATCH($H395,'Settings'!$I$10:$I$39,0)),""))</f>
        <v/>
      </c>
      <c r="J395" s="6" t="n">
        <v>1</v>
      </c>
      <c r="K395" s="8" t="n">
        <v>120</v>
      </c>
      <c r="L395" s="8" t="n"/>
      <c r="M395" s="14">
        <f>IF($A395="","",$J395*$K395)</f>
        <v/>
      </c>
      <c r="N395" s="14">
        <f>IF($A395="","",$M395-$L395)</f>
        <v/>
      </c>
      <c r="O395" s="4" t="inlineStr">
        <is>
          <t>Cash</t>
        </is>
      </c>
      <c r="P395" s="15">
        <f>IF($A395="","",DATE(YEAR($A395),MONTH($A395),1))</f>
        <v/>
      </c>
      <c r="Q395" s="16">
        <f>IF($H395="","",$J395*IFERROR(INDEX('Settings'!$L$10:$L$39,MATCH($H395,'Settings'!$I$10:$I$39,0)),0))</f>
        <v/>
      </c>
      <c r="R395" s="17">
        <f>IF($A395="","",$A395-WEEKDAY($A395,2)+1)</f>
        <v/>
      </c>
    </row>
    <row r="396">
      <c r="A396" s="5" t="n">
        <v>46238</v>
      </c>
      <c r="B396" s="4" t="inlineStr">
        <is>
          <t>Main branch</t>
        </is>
      </c>
      <c r="C396" s="4" t="inlineStr">
        <is>
          <t>Main 3</t>
        </is>
      </c>
      <c r="D396" s="4" t="inlineStr">
        <is>
          <t>Dr Sara Al Harbi</t>
        </is>
      </c>
      <c r="E396" s="4" t="inlineStr">
        <is>
          <t>P-3453</t>
        </is>
      </c>
      <c r="F396" s="4" t="inlineStr">
        <is>
          <t>Returning</t>
        </is>
      </c>
      <c r="G396" s="4" t="inlineStr">
        <is>
          <t>Walk-in</t>
        </is>
      </c>
      <c r="H396" s="4" t="inlineStr">
        <is>
          <t>Laser session, body</t>
        </is>
      </c>
      <c r="I396" s="9">
        <f>IF($H396="","",IFERROR(INDEX('Settings'!$J$10:$J$39,MATCH($H396,'Settings'!$I$10:$I$39,0)),""))</f>
        <v/>
      </c>
      <c r="J396" s="6" t="n">
        <v>1</v>
      </c>
      <c r="K396" s="8" t="n">
        <v>1200</v>
      </c>
      <c r="L396" s="8" t="n">
        <v>120</v>
      </c>
      <c r="M396" s="14">
        <f>IF($A396="","",$J396*$K396)</f>
        <v/>
      </c>
      <c r="N396" s="14">
        <f>IF($A396="","",$M396-$L396)</f>
        <v/>
      </c>
      <c r="O396" s="4" t="inlineStr">
        <is>
          <t>Card</t>
        </is>
      </c>
      <c r="P396" s="15">
        <f>IF($A396="","",DATE(YEAR($A396),MONTH($A396),1))</f>
        <v/>
      </c>
      <c r="Q396" s="16">
        <f>IF($H396="","",$J396*IFERROR(INDEX('Settings'!$L$10:$L$39,MATCH($H396,'Settings'!$I$10:$I$39,0)),0))</f>
        <v/>
      </c>
      <c r="R396" s="17">
        <f>IF($A396="","",$A396-WEEKDAY($A396,2)+1)</f>
        <v/>
      </c>
    </row>
    <row r="397">
      <c r="A397" s="5" t="n">
        <v>46238</v>
      </c>
      <c r="B397" s="4" t="inlineStr">
        <is>
          <t>Main branch</t>
        </is>
      </c>
      <c r="C397" s="4" t="inlineStr">
        <is>
          <t>Main 4</t>
        </is>
      </c>
      <c r="D397" s="4" t="inlineStr">
        <is>
          <t>Dr Sara Al Harbi</t>
        </is>
      </c>
      <c r="E397" s="4" t="inlineStr">
        <is>
          <t>P-2693</t>
        </is>
      </c>
      <c r="F397" s="4" t="inlineStr">
        <is>
          <t>New</t>
        </is>
      </c>
      <c r="G397" s="4" t="inlineStr">
        <is>
          <t>Instagram</t>
        </is>
      </c>
      <c r="H397" s="4" t="inlineStr">
        <is>
          <t>Physiotherapy session</t>
        </is>
      </c>
      <c r="I397" s="9">
        <f>IF($H397="","",IFERROR(INDEX('Settings'!$J$10:$J$39,MATCH($H397,'Settings'!$I$10:$I$39,0)),""))</f>
        <v/>
      </c>
      <c r="J397" s="6" t="n">
        <v>1</v>
      </c>
      <c r="K397" s="8" t="n">
        <v>300</v>
      </c>
      <c r="L397" s="8" t="n"/>
      <c r="M397" s="14">
        <f>IF($A397="","",$J397*$K397)</f>
        <v/>
      </c>
      <c r="N397" s="14">
        <f>IF($A397="","",$M397-$L397)</f>
        <v/>
      </c>
      <c r="O397" s="4" t="inlineStr">
        <is>
          <t>Card</t>
        </is>
      </c>
      <c r="P397" s="15">
        <f>IF($A397="","",DATE(YEAR($A397),MONTH($A397),1))</f>
        <v/>
      </c>
      <c r="Q397" s="16">
        <f>IF($H397="","",$J397*IFERROR(INDEX('Settings'!$L$10:$L$39,MATCH($H397,'Settings'!$I$10:$I$39,0)),0))</f>
        <v/>
      </c>
      <c r="R397" s="17">
        <f>IF($A397="","",$A397-WEEKDAY($A397,2)+1)</f>
        <v/>
      </c>
    </row>
    <row r="398">
      <c r="A398" s="5" t="n">
        <v>46238</v>
      </c>
      <c r="B398" s="4" t="inlineStr">
        <is>
          <t>Main branch</t>
        </is>
      </c>
      <c r="C398" s="4" t="inlineStr">
        <is>
          <t>Main 4</t>
        </is>
      </c>
      <c r="D398" s="4" t="inlineStr">
        <is>
          <t>Dr Noura Al Subaie</t>
        </is>
      </c>
      <c r="E398" s="4" t="inlineStr">
        <is>
          <t>P-2422</t>
        </is>
      </c>
      <c r="F398" s="4" t="inlineStr">
        <is>
          <t>Returning</t>
        </is>
      </c>
      <c r="G398" s="4" t="inlineStr">
        <is>
          <t>Walk-in</t>
        </is>
      </c>
      <c r="H398" s="4" t="inlineStr">
        <is>
          <t>Physiotherapy session</t>
        </is>
      </c>
      <c r="I398" s="9">
        <f>IF($H398="","",IFERROR(INDEX('Settings'!$J$10:$J$39,MATCH($H398,'Settings'!$I$10:$I$39,0)),""))</f>
        <v/>
      </c>
      <c r="J398" s="6" t="n">
        <v>1</v>
      </c>
      <c r="K398" s="8" t="n">
        <v>300</v>
      </c>
      <c r="L398" s="8" t="n"/>
      <c r="M398" s="14">
        <f>IF($A398="","",$J398*$K398)</f>
        <v/>
      </c>
      <c r="N398" s="14">
        <f>IF($A398="","",$M398-$L398)</f>
        <v/>
      </c>
      <c r="O398" s="4" t="inlineStr">
        <is>
          <t>Insurance</t>
        </is>
      </c>
      <c r="P398" s="15">
        <f>IF($A398="","",DATE(YEAR($A398),MONTH($A398),1))</f>
        <v/>
      </c>
      <c r="Q398" s="16">
        <f>IF($H398="","",$J398*IFERROR(INDEX('Settings'!$L$10:$L$39,MATCH($H398,'Settings'!$I$10:$I$39,0)),0))</f>
        <v/>
      </c>
      <c r="R398" s="17">
        <f>IF($A398="","",$A398-WEEKDAY($A398,2)+1)</f>
        <v/>
      </c>
    </row>
    <row r="399">
      <c r="A399" s="5" t="n">
        <v>46238</v>
      </c>
      <c r="B399" s="4" t="inlineStr">
        <is>
          <t>North branch</t>
        </is>
      </c>
      <c r="C399" s="4" t="inlineStr">
        <is>
          <t>North 1</t>
        </is>
      </c>
      <c r="D399" s="4" t="inlineStr">
        <is>
          <t>Dr Khaled Youssef</t>
        </is>
      </c>
      <c r="E399" s="4" t="inlineStr">
        <is>
          <t>P-2554</t>
        </is>
      </c>
      <c r="F399" s="4" t="inlineStr">
        <is>
          <t>Returning</t>
        </is>
      </c>
      <c r="G399" s="4" t="inlineStr">
        <is>
          <t>Google</t>
        </is>
      </c>
      <c r="H399" s="4" t="inlineStr">
        <is>
          <t>Physiotherapy session</t>
        </is>
      </c>
      <c r="I399" s="9">
        <f>IF($H399="","",IFERROR(INDEX('Settings'!$J$10:$J$39,MATCH($H399,'Settings'!$I$10:$I$39,0)),""))</f>
        <v/>
      </c>
      <c r="J399" s="6" t="n">
        <v>1</v>
      </c>
      <c r="K399" s="8" t="n">
        <v>300</v>
      </c>
      <c r="L399" s="8" t="n"/>
      <c r="M399" s="14">
        <f>IF($A399="","",$J399*$K399)</f>
        <v/>
      </c>
      <c r="N399" s="14">
        <f>IF($A399="","",$M399-$L399)</f>
        <v/>
      </c>
      <c r="O399" s="4" t="inlineStr">
        <is>
          <t>Card</t>
        </is>
      </c>
      <c r="P399" s="15">
        <f>IF($A399="","",DATE(YEAR($A399),MONTH($A399),1))</f>
        <v/>
      </c>
      <c r="Q399" s="16">
        <f>IF($H399="","",$J399*IFERROR(INDEX('Settings'!$L$10:$L$39,MATCH($H399,'Settings'!$I$10:$I$39,0)),0))</f>
        <v/>
      </c>
      <c r="R399" s="17">
        <f>IF($A399="","",$A399-WEEKDAY($A399,2)+1)</f>
        <v/>
      </c>
    </row>
    <row r="400">
      <c r="A400" s="5" t="n">
        <v>46238</v>
      </c>
      <c r="B400" s="4" t="inlineStr">
        <is>
          <t>North branch</t>
        </is>
      </c>
      <c r="C400" s="4" t="inlineStr">
        <is>
          <t>North 1</t>
        </is>
      </c>
      <c r="D400" s="4" t="inlineStr">
        <is>
          <t>Dr Layla Al Qahtani</t>
        </is>
      </c>
      <c r="E400" s="4" t="inlineStr">
        <is>
          <t>P-2226</t>
        </is>
      </c>
      <c r="F400" s="4" t="inlineStr">
        <is>
          <t>Returning</t>
        </is>
      </c>
      <c r="G400" s="4" t="inlineStr">
        <is>
          <t>Referral</t>
        </is>
      </c>
      <c r="H400" s="4" t="inlineStr">
        <is>
          <t>Botulinum toxin</t>
        </is>
      </c>
      <c r="I400" s="9">
        <f>IF($H400="","",IFERROR(INDEX('Settings'!$J$10:$J$39,MATCH($H400,'Settings'!$I$10:$I$39,0)),""))</f>
        <v/>
      </c>
      <c r="J400" s="6" t="n">
        <v>1</v>
      </c>
      <c r="K400" s="8" t="n">
        <v>1500</v>
      </c>
      <c r="L400" s="8" t="n"/>
      <c r="M400" s="14">
        <f>IF($A400="","",$J400*$K400)</f>
        <v/>
      </c>
      <c r="N400" s="14">
        <f>IF($A400="","",$M400-$L400)</f>
        <v/>
      </c>
      <c r="O400" s="4" t="inlineStr">
        <is>
          <t>Cash</t>
        </is>
      </c>
      <c r="P400" s="15">
        <f>IF($A400="","",DATE(YEAR($A400),MONTH($A400),1))</f>
        <v/>
      </c>
      <c r="Q400" s="16">
        <f>IF($H400="","",$J400*IFERROR(INDEX('Settings'!$L$10:$L$39,MATCH($H400,'Settings'!$I$10:$I$39,0)),0))</f>
        <v/>
      </c>
      <c r="R400" s="17">
        <f>IF($A400="","",$A400-WEEKDAY($A400,2)+1)</f>
        <v/>
      </c>
    </row>
    <row r="401">
      <c r="A401" s="5" t="n">
        <v>46238</v>
      </c>
      <c r="B401" s="4" t="inlineStr">
        <is>
          <t>North branch</t>
        </is>
      </c>
      <c r="C401" s="4" t="inlineStr">
        <is>
          <t>North 1</t>
        </is>
      </c>
      <c r="D401" s="4" t="inlineStr">
        <is>
          <t>Dr Khaled Youssef</t>
        </is>
      </c>
      <c r="E401" s="4" t="inlineStr">
        <is>
          <t>P-2436</t>
        </is>
      </c>
      <c r="F401" s="4" t="inlineStr">
        <is>
          <t>Returning</t>
        </is>
      </c>
      <c r="G401" s="4" t="inlineStr">
        <is>
          <t>Instagram</t>
        </is>
      </c>
      <c r="H401" s="4" t="inlineStr">
        <is>
          <t>Facial cleansing</t>
        </is>
      </c>
      <c r="I401" s="9">
        <f>IF($H401="","",IFERROR(INDEX('Settings'!$J$10:$J$39,MATCH($H401,'Settings'!$I$10:$I$39,0)),""))</f>
        <v/>
      </c>
      <c r="J401" s="6" t="n">
        <v>1</v>
      </c>
      <c r="K401" s="8" t="n">
        <v>400</v>
      </c>
      <c r="L401" s="8" t="n"/>
      <c r="M401" s="14">
        <f>IF($A401="","",$J401*$K401)</f>
        <v/>
      </c>
      <c r="N401" s="14">
        <f>IF($A401="","",$M401-$L401)</f>
        <v/>
      </c>
      <c r="O401" s="4" t="inlineStr">
        <is>
          <t>Insurance</t>
        </is>
      </c>
      <c r="P401" s="15">
        <f>IF($A401="","",DATE(YEAR($A401),MONTH($A401),1))</f>
        <v/>
      </c>
      <c r="Q401" s="16">
        <f>IF($H401="","",$J401*IFERROR(INDEX('Settings'!$L$10:$L$39,MATCH($H401,'Settings'!$I$10:$I$39,0)),0))</f>
        <v/>
      </c>
      <c r="R401" s="17">
        <f>IF($A401="","",$A401-WEEKDAY($A401,2)+1)</f>
        <v/>
      </c>
    </row>
    <row r="402">
      <c r="A402" s="5" t="n">
        <v>46238</v>
      </c>
      <c r="B402" s="4" t="inlineStr">
        <is>
          <t>North branch</t>
        </is>
      </c>
      <c r="C402" s="4" t="inlineStr">
        <is>
          <t>North 1</t>
        </is>
      </c>
      <c r="D402" s="4" t="inlineStr">
        <is>
          <t>Dr Mohamed Adel</t>
        </is>
      </c>
      <c r="E402" s="4" t="inlineStr">
        <is>
          <t>P-3017</t>
        </is>
      </c>
      <c r="F402" s="4" t="inlineStr">
        <is>
          <t>New</t>
        </is>
      </c>
      <c r="G402" s="4" t="inlineStr">
        <is>
          <t>Referral</t>
        </is>
      </c>
      <c r="H402" s="4" t="inlineStr">
        <is>
          <t>Vitamin C serum</t>
        </is>
      </c>
      <c r="I402" s="9">
        <f>IF($H402="","",IFERROR(INDEX('Settings'!$J$10:$J$39,MATCH($H402,'Settings'!$I$10:$I$39,0)),""))</f>
        <v/>
      </c>
      <c r="J402" s="6" t="n">
        <v>2</v>
      </c>
      <c r="K402" s="8" t="n">
        <v>220</v>
      </c>
      <c r="L402" s="8" t="n"/>
      <c r="M402" s="14">
        <f>IF($A402="","",$J402*$K402)</f>
        <v/>
      </c>
      <c r="N402" s="14">
        <f>IF($A402="","",$M402-$L402)</f>
        <v/>
      </c>
      <c r="O402" s="4" t="inlineStr">
        <is>
          <t>Insurance</t>
        </is>
      </c>
      <c r="P402" s="15">
        <f>IF($A402="","",DATE(YEAR($A402),MONTH($A402),1))</f>
        <v/>
      </c>
      <c r="Q402" s="16">
        <f>IF($H402="","",$J402*IFERROR(INDEX('Settings'!$L$10:$L$39,MATCH($H402,'Settings'!$I$10:$I$39,0)),0))</f>
        <v/>
      </c>
      <c r="R402" s="17">
        <f>IF($A402="","",$A402-WEEKDAY($A402,2)+1)</f>
        <v/>
      </c>
    </row>
    <row r="403">
      <c r="A403" s="5" t="n">
        <v>46238</v>
      </c>
      <c r="B403" s="4" t="inlineStr">
        <is>
          <t>North branch</t>
        </is>
      </c>
      <c r="C403" s="4" t="inlineStr">
        <is>
          <t>North 1</t>
        </is>
      </c>
      <c r="D403" s="4" t="inlineStr">
        <is>
          <t>Dr Khaled Youssef</t>
        </is>
      </c>
      <c r="E403" s="4" t="inlineStr">
        <is>
          <t>P-3374</t>
        </is>
      </c>
      <c r="F403" s="4" t="inlineStr">
        <is>
          <t>New</t>
        </is>
      </c>
      <c r="G403" s="4" t="inlineStr">
        <is>
          <t>Instagram</t>
        </is>
      </c>
      <c r="H403" s="4" t="inlineStr">
        <is>
          <t>Laser session, body</t>
        </is>
      </c>
      <c r="I403" s="9">
        <f>IF($H403="","",IFERROR(INDEX('Settings'!$J$10:$J$39,MATCH($H403,'Settings'!$I$10:$I$39,0)),""))</f>
        <v/>
      </c>
      <c r="J403" s="6" t="n">
        <v>1</v>
      </c>
      <c r="K403" s="8" t="n">
        <v>1200</v>
      </c>
      <c r="L403" s="8" t="n">
        <v>240</v>
      </c>
      <c r="M403" s="14">
        <f>IF($A403="","",$J403*$K403)</f>
        <v/>
      </c>
      <c r="N403" s="14">
        <f>IF($A403="","",$M403-$L403)</f>
        <v/>
      </c>
      <c r="O403" s="4" t="inlineStr">
        <is>
          <t>Card</t>
        </is>
      </c>
      <c r="P403" s="15">
        <f>IF($A403="","",DATE(YEAR($A403),MONTH($A403),1))</f>
        <v/>
      </c>
      <c r="Q403" s="16">
        <f>IF($H403="","",$J403*IFERROR(INDEX('Settings'!$L$10:$L$39,MATCH($H403,'Settings'!$I$10:$I$39,0)),0))</f>
        <v/>
      </c>
      <c r="R403" s="17">
        <f>IF($A403="","",$A403-WEEKDAY($A403,2)+1)</f>
        <v/>
      </c>
    </row>
    <row r="404">
      <c r="A404" s="5" t="n">
        <v>46238</v>
      </c>
      <c r="B404" s="4" t="inlineStr">
        <is>
          <t>North branch</t>
        </is>
      </c>
      <c r="C404" s="4" t="inlineStr">
        <is>
          <t>North 1</t>
        </is>
      </c>
      <c r="D404" s="4" t="inlineStr">
        <is>
          <t>Dr Khaled Youssef</t>
        </is>
      </c>
      <c r="E404" s="4" t="inlineStr">
        <is>
          <t>P-2857</t>
        </is>
      </c>
      <c r="F404" s="4" t="inlineStr">
        <is>
          <t>Returning</t>
        </is>
      </c>
      <c r="G404" s="4" t="inlineStr">
        <is>
          <t>Instagram</t>
        </is>
      </c>
      <c r="H404" s="4" t="inlineStr">
        <is>
          <t>Specialist consultation</t>
        </is>
      </c>
      <c r="I404" s="9">
        <f>IF($H404="","",IFERROR(INDEX('Settings'!$J$10:$J$39,MATCH($H404,'Settings'!$I$10:$I$39,0)),""))</f>
        <v/>
      </c>
      <c r="J404" s="6" t="n">
        <v>1</v>
      </c>
      <c r="K404" s="8" t="n">
        <v>350</v>
      </c>
      <c r="L404" s="8" t="n"/>
      <c r="M404" s="14">
        <f>IF($A404="","",$J404*$K404)</f>
        <v/>
      </c>
      <c r="N404" s="14">
        <f>IF($A404="","",$M404-$L404)</f>
        <v/>
      </c>
      <c r="O404" s="4" t="inlineStr">
        <is>
          <t>Card</t>
        </is>
      </c>
      <c r="P404" s="15">
        <f>IF($A404="","",DATE(YEAR($A404),MONTH($A404),1))</f>
        <v/>
      </c>
      <c r="Q404" s="16">
        <f>IF($H404="","",$J404*IFERROR(INDEX('Settings'!$L$10:$L$39,MATCH($H404,'Settings'!$I$10:$I$39,0)),0))</f>
        <v/>
      </c>
      <c r="R404" s="17">
        <f>IF($A404="","",$A404-WEEKDAY($A404,2)+1)</f>
        <v/>
      </c>
    </row>
    <row r="405">
      <c r="A405" s="5" t="n">
        <v>46238</v>
      </c>
      <c r="B405" s="4" t="inlineStr">
        <is>
          <t>North branch</t>
        </is>
      </c>
      <c r="C405" s="4" t="inlineStr">
        <is>
          <t>North 1</t>
        </is>
      </c>
      <c r="D405" s="4" t="inlineStr">
        <is>
          <t>Dr Mohamed Adel</t>
        </is>
      </c>
      <c r="E405" s="4" t="inlineStr">
        <is>
          <t>P-3372</t>
        </is>
      </c>
      <c r="F405" s="4" t="inlineStr">
        <is>
          <t>New</t>
        </is>
      </c>
      <c r="G405" s="4" t="inlineStr">
        <is>
          <t>Walk-in</t>
        </is>
      </c>
      <c r="H405" s="4" t="inlineStr">
        <is>
          <t>Chemical peel</t>
        </is>
      </c>
      <c r="I405" s="9">
        <f>IF($H405="","",IFERROR(INDEX('Settings'!$J$10:$J$39,MATCH($H405,'Settings'!$I$10:$I$39,0)),""))</f>
        <v/>
      </c>
      <c r="J405" s="6" t="n">
        <v>1</v>
      </c>
      <c r="K405" s="8" t="n">
        <v>800</v>
      </c>
      <c r="L405" s="8" t="n"/>
      <c r="M405" s="14">
        <f>IF($A405="","",$J405*$K405)</f>
        <v/>
      </c>
      <c r="N405" s="14">
        <f>IF($A405="","",$M405-$L405)</f>
        <v/>
      </c>
      <c r="O405" s="4" t="inlineStr">
        <is>
          <t>Payment link</t>
        </is>
      </c>
      <c r="P405" s="15">
        <f>IF($A405="","",DATE(YEAR($A405),MONTH($A405),1))</f>
        <v/>
      </c>
      <c r="Q405" s="16">
        <f>IF($H405="","",$J405*IFERROR(INDEX('Settings'!$L$10:$L$39,MATCH($H405,'Settings'!$I$10:$I$39,0)),0))</f>
        <v/>
      </c>
      <c r="R405" s="17">
        <f>IF($A405="","",$A405-WEEKDAY($A405,2)+1)</f>
        <v/>
      </c>
    </row>
    <row r="406">
      <c r="A406" s="5" t="n">
        <v>46238</v>
      </c>
      <c r="B406" s="4" t="inlineStr">
        <is>
          <t>North branch</t>
        </is>
      </c>
      <c r="C406" s="4" t="inlineStr">
        <is>
          <t>North 1</t>
        </is>
      </c>
      <c r="D406" s="4" t="inlineStr">
        <is>
          <t>Dr Mohamed Adel</t>
        </is>
      </c>
      <c r="E406" s="4" t="inlineStr">
        <is>
          <t>P-2228</t>
        </is>
      </c>
      <c r="F406" s="4" t="inlineStr">
        <is>
          <t>Returning</t>
        </is>
      </c>
      <c r="G406" s="4" t="inlineStr">
        <is>
          <t>Google</t>
        </is>
      </c>
      <c r="H406" s="4" t="inlineStr">
        <is>
          <t>Laser session, face</t>
        </is>
      </c>
      <c r="I406" s="9">
        <f>IF($H406="","",IFERROR(INDEX('Settings'!$J$10:$J$39,MATCH($H406,'Settings'!$I$10:$I$39,0)),""))</f>
        <v/>
      </c>
      <c r="J406" s="6" t="n">
        <v>1</v>
      </c>
      <c r="K406" s="8" t="n">
        <v>600</v>
      </c>
      <c r="L406" s="8" t="n"/>
      <c r="M406" s="14">
        <f>IF($A406="","",$J406*$K406)</f>
        <v/>
      </c>
      <c r="N406" s="14">
        <f>IF($A406="","",$M406-$L406)</f>
        <v/>
      </c>
      <c r="O406" s="4" t="inlineStr">
        <is>
          <t>Transfer</t>
        </is>
      </c>
      <c r="P406" s="15">
        <f>IF($A406="","",DATE(YEAR($A406),MONTH($A406),1))</f>
        <v/>
      </c>
      <c r="Q406" s="16">
        <f>IF($H406="","",$J406*IFERROR(INDEX('Settings'!$L$10:$L$39,MATCH($H406,'Settings'!$I$10:$I$39,0)),0))</f>
        <v/>
      </c>
      <c r="R406" s="17">
        <f>IF($A406="","",$A406-WEEKDAY($A406,2)+1)</f>
        <v/>
      </c>
    </row>
    <row r="407">
      <c r="A407" s="5" t="n">
        <v>46238</v>
      </c>
      <c r="B407" s="4" t="inlineStr">
        <is>
          <t>North branch</t>
        </is>
      </c>
      <c r="C407" s="4" t="inlineStr">
        <is>
          <t>North 1</t>
        </is>
      </c>
      <c r="D407" s="4" t="inlineStr">
        <is>
          <t>Dr Layla Al Qahtani</t>
        </is>
      </c>
      <c r="E407" s="4" t="inlineStr">
        <is>
          <t>P-2785</t>
        </is>
      </c>
      <c r="F407" s="4" t="inlineStr">
        <is>
          <t>New</t>
        </is>
      </c>
      <c r="G407" s="4" t="inlineStr">
        <is>
          <t>Instagram</t>
        </is>
      </c>
      <c r="H407" s="4" t="inlineStr">
        <is>
          <t>Specialist consultation</t>
        </is>
      </c>
      <c r="I407" s="9">
        <f>IF($H407="","",IFERROR(INDEX('Settings'!$J$10:$J$39,MATCH($H407,'Settings'!$I$10:$I$39,0)),""))</f>
        <v/>
      </c>
      <c r="J407" s="6" t="n">
        <v>1</v>
      </c>
      <c r="K407" s="8" t="n">
        <v>350</v>
      </c>
      <c r="L407" s="8" t="n"/>
      <c r="M407" s="14">
        <f>IF($A407="","",$J407*$K407)</f>
        <v/>
      </c>
      <c r="N407" s="14">
        <f>IF($A407="","",$M407-$L407)</f>
        <v/>
      </c>
      <c r="O407" s="4" t="inlineStr">
        <is>
          <t>Payment link</t>
        </is>
      </c>
      <c r="P407" s="15">
        <f>IF($A407="","",DATE(YEAR($A407),MONTH($A407),1))</f>
        <v/>
      </c>
      <c r="Q407" s="16">
        <f>IF($H407="","",$J407*IFERROR(INDEX('Settings'!$L$10:$L$39,MATCH($H407,'Settings'!$I$10:$I$39,0)),0))</f>
        <v/>
      </c>
      <c r="R407" s="17">
        <f>IF($A407="","",$A407-WEEKDAY($A407,2)+1)</f>
        <v/>
      </c>
    </row>
    <row r="408">
      <c r="A408" s="5" t="n">
        <v>46238</v>
      </c>
      <c r="B408" s="4" t="inlineStr">
        <is>
          <t>North branch</t>
        </is>
      </c>
      <c r="C408" s="4" t="inlineStr">
        <is>
          <t>North 2</t>
        </is>
      </c>
      <c r="D408" s="4" t="inlineStr">
        <is>
          <t>Dr Layla Al Qahtani</t>
        </is>
      </c>
      <c r="E408" s="4" t="inlineStr">
        <is>
          <t>P-3265</t>
        </is>
      </c>
      <c r="F408" s="4" t="inlineStr">
        <is>
          <t>New</t>
        </is>
      </c>
      <c r="G408" s="4" t="inlineStr">
        <is>
          <t>Google</t>
        </is>
      </c>
      <c r="H408" s="4" t="inlineStr">
        <is>
          <t>Laser session, body</t>
        </is>
      </c>
      <c r="I408" s="9">
        <f>IF($H408="","",IFERROR(INDEX('Settings'!$J$10:$J$39,MATCH($H408,'Settings'!$I$10:$I$39,0)),""))</f>
        <v/>
      </c>
      <c r="J408" s="6" t="n">
        <v>1</v>
      </c>
      <c r="K408" s="8" t="n">
        <v>1200</v>
      </c>
      <c r="L408" s="8" t="n"/>
      <c r="M408" s="14">
        <f>IF($A408="","",$J408*$K408)</f>
        <v/>
      </c>
      <c r="N408" s="14">
        <f>IF($A408="","",$M408-$L408)</f>
        <v/>
      </c>
      <c r="O408" s="4" t="inlineStr">
        <is>
          <t>Cash</t>
        </is>
      </c>
      <c r="P408" s="15">
        <f>IF($A408="","",DATE(YEAR($A408),MONTH($A408),1))</f>
        <v/>
      </c>
      <c r="Q408" s="16">
        <f>IF($H408="","",$J408*IFERROR(INDEX('Settings'!$L$10:$L$39,MATCH($H408,'Settings'!$I$10:$I$39,0)),0))</f>
        <v/>
      </c>
      <c r="R408" s="17">
        <f>IF($A408="","",$A408-WEEKDAY($A408,2)+1)</f>
        <v/>
      </c>
    </row>
    <row r="409">
      <c r="A409" s="5" t="n">
        <v>46238</v>
      </c>
      <c r="B409" s="4" t="inlineStr">
        <is>
          <t>North branch</t>
        </is>
      </c>
      <c r="C409" s="4" t="inlineStr">
        <is>
          <t>North 2</t>
        </is>
      </c>
      <c r="D409" s="4" t="inlineStr">
        <is>
          <t>Dr Layla Al Qahtani</t>
        </is>
      </c>
      <c r="E409" s="4" t="inlineStr">
        <is>
          <t>P-2497</t>
        </is>
      </c>
      <c r="F409" s="4" t="inlineStr">
        <is>
          <t>New</t>
        </is>
      </c>
      <c r="G409" s="4" t="inlineStr">
        <is>
          <t>Google</t>
        </is>
      </c>
      <c r="H409" s="4" t="inlineStr">
        <is>
          <t>Laser session, face</t>
        </is>
      </c>
      <c r="I409" s="9">
        <f>IF($H409="","",IFERROR(INDEX('Settings'!$J$10:$J$39,MATCH($H409,'Settings'!$I$10:$I$39,0)),""))</f>
        <v/>
      </c>
      <c r="J409" s="6" t="n">
        <v>1</v>
      </c>
      <c r="K409" s="8" t="n">
        <v>600</v>
      </c>
      <c r="L409" s="8" t="n">
        <v>30</v>
      </c>
      <c r="M409" s="14">
        <f>IF($A409="","",$J409*$K409)</f>
        <v/>
      </c>
      <c r="N409" s="14">
        <f>IF($A409="","",$M409-$L409)</f>
        <v/>
      </c>
      <c r="O409" s="4" t="inlineStr">
        <is>
          <t>Card</t>
        </is>
      </c>
      <c r="P409" s="15">
        <f>IF($A409="","",DATE(YEAR($A409),MONTH($A409),1))</f>
        <v/>
      </c>
      <c r="Q409" s="16">
        <f>IF($H409="","",$J409*IFERROR(INDEX('Settings'!$L$10:$L$39,MATCH($H409,'Settings'!$I$10:$I$39,0)),0))</f>
        <v/>
      </c>
      <c r="R409" s="17">
        <f>IF($A409="","",$A409-WEEKDAY($A409,2)+1)</f>
        <v/>
      </c>
    </row>
    <row r="410">
      <c r="A410" s="5" t="n">
        <v>46239</v>
      </c>
      <c r="B410" s="4" t="inlineStr">
        <is>
          <t>Main branch</t>
        </is>
      </c>
      <c r="C410" s="4" t="inlineStr">
        <is>
          <t>Main 1</t>
        </is>
      </c>
      <c r="D410" s="4" t="inlineStr">
        <is>
          <t>Dr Noura Al Subaie</t>
        </is>
      </c>
      <c r="E410" s="4" t="inlineStr">
        <is>
          <t>P-2160</t>
        </is>
      </c>
      <c r="F410" s="4" t="inlineStr">
        <is>
          <t>Returning</t>
        </is>
      </c>
      <c r="G410" s="4" t="inlineStr">
        <is>
          <t>Walk-in</t>
        </is>
      </c>
      <c r="H410" s="4" t="inlineStr">
        <is>
          <t>Sunscreen cream</t>
        </is>
      </c>
      <c r="I410" s="9">
        <f>IF($H410="","",IFERROR(INDEX('Settings'!$J$10:$J$39,MATCH($H410,'Settings'!$I$10:$I$39,0)),""))</f>
        <v/>
      </c>
      <c r="J410" s="6" t="n">
        <v>1</v>
      </c>
      <c r="K410" s="8" t="n">
        <v>120</v>
      </c>
      <c r="L410" s="8" t="n"/>
      <c r="M410" s="14">
        <f>IF($A410="","",$J410*$K410)</f>
        <v/>
      </c>
      <c r="N410" s="14">
        <f>IF($A410="","",$M410-$L410)</f>
        <v/>
      </c>
      <c r="O410" s="4" t="inlineStr">
        <is>
          <t>Cash</t>
        </is>
      </c>
      <c r="P410" s="15">
        <f>IF($A410="","",DATE(YEAR($A410),MONTH($A410),1))</f>
        <v/>
      </c>
      <c r="Q410" s="16">
        <f>IF($H410="","",$J410*IFERROR(INDEX('Settings'!$L$10:$L$39,MATCH($H410,'Settings'!$I$10:$I$39,0)),0))</f>
        <v/>
      </c>
      <c r="R410" s="17">
        <f>IF($A410="","",$A410-WEEKDAY($A410,2)+1)</f>
        <v/>
      </c>
    </row>
    <row r="411">
      <c r="A411" s="5" t="n">
        <v>46239</v>
      </c>
      <c r="B411" s="4" t="inlineStr">
        <is>
          <t>Main branch</t>
        </is>
      </c>
      <c r="C411" s="4" t="inlineStr">
        <is>
          <t>Main 1</t>
        </is>
      </c>
      <c r="D411" s="4" t="inlineStr">
        <is>
          <t>Dr Ahmed Mansour</t>
        </is>
      </c>
      <c r="E411" s="4" t="inlineStr">
        <is>
          <t>P-2352</t>
        </is>
      </c>
      <c r="F411" s="4" t="inlineStr">
        <is>
          <t>Returning</t>
        </is>
      </c>
      <c r="G411" s="4" t="inlineStr">
        <is>
          <t>WhatsApp</t>
        </is>
      </c>
      <c r="H411" s="4" t="inlineStr">
        <is>
          <t>Sunscreen cream</t>
        </is>
      </c>
      <c r="I411" s="9">
        <f>IF($H411="","",IFERROR(INDEX('Settings'!$J$10:$J$39,MATCH($H411,'Settings'!$I$10:$I$39,0)),""))</f>
        <v/>
      </c>
      <c r="J411" s="6" t="n">
        <v>1</v>
      </c>
      <c r="K411" s="8" t="n">
        <v>120</v>
      </c>
      <c r="L411" s="8" t="n"/>
      <c r="M411" s="14">
        <f>IF($A411="","",$J411*$K411)</f>
        <v/>
      </c>
      <c r="N411" s="14">
        <f>IF($A411="","",$M411-$L411)</f>
        <v/>
      </c>
      <c r="O411" s="4" t="inlineStr">
        <is>
          <t>Card</t>
        </is>
      </c>
      <c r="P411" s="15">
        <f>IF($A411="","",DATE(YEAR($A411),MONTH($A411),1))</f>
        <v/>
      </c>
      <c r="Q411" s="16">
        <f>IF($H411="","",$J411*IFERROR(INDEX('Settings'!$L$10:$L$39,MATCH($H411,'Settings'!$I$10:$I$39,0)),0))</f>
        <v/>
      </c>
      <c r="R411" s="17">
        <f>IF($A411="","",$A411-WEEKDAY($A411,2)+1)</f>
        <v/>
      </c>
    </row>
    <row r="412">
      <c r="A412" s="5" t="n">
        <v>46239</v>
      </c>
      <c r="B412" s="4" t="inlineStr">
        <is>
          <t>Main branch</t>
        </is>
      </c>
      <c r="C412" s="4" t="inlineStr">
        <is>
          <t>Main 1</t>
        </is>
      </c>
      <c r="D412" s="4" t="inlineStr">
        <is>
          <t>Dr Noura Al Subaie</t>
        </is>
      </c>
      <c r="E412" s="4" t="inlineStr">
        <is>
          <t>P-2388</t>
        </is>
      </c>
      <c r="F412" s="4" t="inlineStr">
        <is>
          <t>New</t>
        </is>
      </c>
      <c r="G412" s="4" t="inlineStr">
        <is>
          <t>Instagram</t>
        </is>
      </c>
      <c r="H412" s="4" t="inlineStr">
        <is>
          <t>Laser session, face</t>
        </is>
      </c>
      <c r="I412" s="9">
        <f>IF($H412="","",IFERROR(INDEX('Settings'!$J$10:$J$39,MATCH($H412,'Settings'!$I$10:$I$39,0)),""))</f>
        <v/>
      </c>
      <c r="J412" s="6" t="n">
        <v>1</v>
      </c>
      <c r="K412" s="8" t="n">
        <v>600</v>
      </c>
      <c r="L412" s="8" t="n">
        <v>120</v>
      </c>
      <c r="M412" s="14">
        <f>IF($A412="","",$J412*$K412)</f>
        <v/>
      </c>
      <c r="N412" s="14">
        <f>IF($A412="","",$M412-$L412)</f>
        <v/>
      </c>
      <c r="O412" s="4" t="inlineStr">
        <is>
          <t>Transfer</t>
        </is>
      </c>
      <c r="P412" s="15">
        <f>IF($A412="","",DATE(YEAR($A412),MONTH($A412),1))</f>
        <v/>
      </c>
      <c r="Q412" s="16">
        <f>IF($H412="","",$J412*IFERROR(INDEX('Settings'!$L$10:$L$39,MATCH($H412,'Settings'!$I$10:$I$39,0)),0))</f>
        <v/>
      </c>
      <c r="R412" s="17">
        <f>IF($A412="","",$A412-WEEKDAY($A412,2)+1)</f>
        <v/>
      </c>
    </row>
    <row r="413">
      <c r="A413" s="5" t="n">
        <v>46239</v>
      </c>
      <c r="B413" s="4" t="inlineStr">
        <is>
          <t>Main branch</t>
        </is>
      </c>
      <c r="C413" s="4" t="inlineStr">
        <is>
          <t>Main 2</t>
        </is>
      </c>
      <c r="D413" s="4" t="inlineStr">
        <is>
          <t>Dr Sara Al Harbi</t>
        </is>
      </c>
      <c r="E413" s="4" t="inlineStr">
        <is>
          <t>P-2858</t>
        </is>
      </c>
      <c r="F413" s="4" t="inlineStr">
        <is>
          <t>Returning</t>
        </is>
      </c>
      <c r="G413" s="4" t="inlineStr">
        <is>
          <t>Walk-in</t>
        </is>
      </c>
      <c r="H413" s="4" t="inlineStr">
        <is>
          <t>Sunscreen cream</t>
        </is>
      </c>
      <c r="I413" s="9">
        <f>IF($H413="","",IFERROR(INDEX('Settings'!$J$10:$J$39,MATCH($H413,'Settings'!$I$10:$I$39,0)),""))</f>
        <v/>
      </c>
      <c r="J413" s="6" t="n">
        <v>1</v>
      </c>
      <c r="K413" s="8" t="n">
        <v>120</v>
      </c>
      <c r="L413" s="8" t="n">
        <v>10</v>
      </c>
      <c r="M413" s="14">
        <f>IF($A413="","",$J413*$K413)</f>
        <v/>
      </c>
      <c r="N413" s="14">
        <f>IF($A413="","",$M413-$L413)</f>
        <v/>
      </c>
      <c r="O413" s="4" t="inlineStr">
        <is>
          <t>Insurance</t>
        </is>
      </c>
      <c r="P413" s="15">
        <f>IF($A413="","",DATE(YEAR($A413),MONTH($A413),1))</f>
        <v/>
      </c>
      <c r="Q413" s="16">
        <f>IF($H413="","",$J413*IFERROR(INDEX('Settings'!$L$10:$L$39,MATCH($H413,'Settings'!$I$10:$I$39,0)),0))</f>
        <v/>
      </c>
      <c r="R413" s="17">
        <f>IF($A413="","",$A413-WEEKDAY($A413,2)+1)</f>
        <v/>
      </c>
    </row>
    <row r="414">
      <c r="A414" s="5" t="n">
        <v>46239</v>
      </c>
      <c r="B414" s="4" t="inlineStr">
        <is>
          <t>Main branch</t>
        </is>
      </c>
      <c r="C414" s="4" t="inlineStr">
        <is>
          <t>Main 2</t>
        </is>
      </c>
      <c r="D414" s="4" t="inlineStr">
        <is>
          <t>Dr Sara Al Harbi</t>
        </is>
      </c>
      <c r="E414" s="4" t="inlineStr">
        <is>
          <t>P-3127</t>
        </is>
      </c>
      <c r="F414" s="4" t="inlineStr">
        <is>
          <t>Returning</t>
        </is>
      </c>
      <c r="G414" s="4" t="inlineStr">
        <is>
          <t>Referral</t>
        </is>
      </c>
      <c r="H414" s="4" t="inlineStr">
        <is>
          <t>Vitamin C serum</t>
        </is>
      </c>
      <c r="I414" s="9">
        <f>IF($H414="","",IFERROR(INDEX('Settings'!$J$10:$J$39,MATCH($H414,'Settings'!$I$10:$I$39,0)),""))</f>
        <v/>
      </c>
      <c r="J414" s="6" t="n">
        <v>2</v>
      </c>
      <c r="K414" s="8" t="n">
        <v>220</v>
      </c>
      <c r="L414" s="8" t="n"/>
      <c r="M414" s="14">
        <f>IF($A414="","",$J414*$K414)</f>
        <v/>
      </c>
      <c r="N414" s="14">
        <f>IF($A414="","",$M414-$L414)</f>
        <v/>
      </c>
      <c r="O414" s="4" t="inlineStr">
        <is>
          <t>Cash</t>
        </is>
      </c>
      <c r="P414" s="15">
        <f>IF($A414="","",DATE(YEAR($A414),MONTH($A414),1))</f>
        <v/>
      </c>
      <c r="Q414" s="16">
        <f>IF($H414="","",$J414*IFERROR(INDEX('Settings'!$L$10:$L$39,MATCH($H414,'Settings'!$I$10:$I$39,0)),0))</f>
        <v/>
      </c>
      <c r="R414" s="17">
        <f>IF($A414="","",$A414-WEEKDAY($A414,2)+1)</f>
        <v/>
      </c>
    </row>
    <row r="415">
      <c r="A415" s="5" t="n">
        <v>46239</v>
      </c>
      <c r="B415" s="4" t="inlineStr">
        <is>
          <t>Main branch</t>
        </is>
      </c>
      <c r="C415" s="4" t="inlineStr">
        <is>
          <t>Main 3</t>
        </is>
      </c>
      <c r="D415" s="4" t="inlineStr">
        <is>
          <t>Dr Sara Al Harbi</t>
        </is>
      </c>
      <c r="E415" s="4" t="inlineStr">
        <is>
          <t>P-2589</t>
        </is>
      </c>
      <c r="F415" s="4" t="inlineStr">
        <is>
          <t>Returning</t>
        </is>
      </c>
      <c r="G415" s="4" t="inlineStr">
        <is>
          <t>Walk-in</t>
        </is>
      </c>
      <c r="H415" s="4" t="inlineStr">
        <is>
          <t>Sunscreen cream</t>
        </is>
      </c>
      <c r="I415" s="9">
        <f>IF($H415="","",IFERROR(INDEX('Settings'!$J$10:$J$39,MATCH($H415,'Settings'!$I$10:$I$39,0)),""))</f>
        <v/>
      </c>
      <c r="J415" s="6" t="n">
        <v>1</v>
      </c>
      <c r="K415" s="8" t="n">
        <v>120</v>
      </c>
      <c r="L415" s="8" t="n"/>
      <c r="M415" s="14">
        <f>IF($A415="","",$J415*$K415)</f>
        <v/>
      </c>
      <c r="N415" s="14">
        <f>IF($A415="","",$M415-$L415)</f>
        <v/>
      </c>
      <c r="O415" s="4" t="inlineStr">
        <is>
          <t>Card</t>
        </is>
      </c>
      <c r="P415" s="15">
        <f>IF($A415="","",DATE(YEAR($A415),MONTH($A415),1))</f>
        <v/>
      </c>
      <c r="Q415" s="16">
        <f>IF($H415="","",$J415*IFERROR(INDEX('Settings'!$L$10:$L$39,MATCH($H415,'Settings'!$I$10:$I$39,0)),0))</f>
        <v/>
      </c>
      <c r="R415" s="17">
        <f>IF($A415="","",$A415-WEEKDAY($A415,2)+1)</f>
        <v/>
      </c>
    </row>
    <row r="416">
      <c r="A416" s="5" t="n">
        <v>46239</v>
      </c>
      <c r="B416" s="4" t="inlineStr">
        <is>
          <t>Main branch</t>
        </is>
      </c>
      <c r="C416" s="4" t="inlineStr">
        <is>
          <t>Main 3</t>
        </is>
      </c>
      <c r="D416" s="4" t="inlineStr">
        <is>
          <t>Dr Ahmed Mansour</t>
        </is>
      </c>
      <c r="E416" s="4" t="inlineStr">
        <is>
          <t>P-2107</t>
        </is>
      </c>
      <c r="F416" s="4" t="inlineStr">
        <is>
          <t>New</t>
        </is>
      </c>
      <c r="G416" s="4" t="inlineStr">
        <is>
          <t>Google</t>
        </is>
      </c>
      <c r="H416" s="4" t="inlineStr">
        <is>
          <t>Facial cleansing</t>
        </is>
      </c>
      <c r="I416" s="9">
        <f>IF($H416="","",IFERROR(INDEX('Settings'!$J$10:$J$39,MATCH($H416,'Settings'!$I$10:$I$39,0)),""))</f>
        <v/>
      </c>
      <c r="J416" s="6" t="n">
        <v>1</v>
      </c>
      <c r="K416" s="8" t="n">
        <v>400</v>
      </c>
      <c r="L416" s="8" t="n">
        <v>20</v>
      </c>
      <c r="M416" s="14">
        <f>IF($A416="","",$J416*$K416)</f>
        <v/>
      </c>
      <c r="N416" s="14">
        <f>IF($A416="","",$M416-$L416)</f>
        <v/>
      </c>
      <c r="O416" s="4" t="inlineStr">
        <is>
          <t>Card</t>
        </is>
      </c>
      <c r="P416" s="15">
        <f>IF($A416="","",DATE(YEAR($A416),MONTH($A416),1))</f>
        <v/>
      </c>
      <c r="Q416" s="16">
        <f>IF($H416="","",$J416*IFERROR(INDEX('Settings'!$L$10:$L$39,MATCH($H416,'Settings'!$I$10:$I$39,0)),0))</f>
        <v/>
      </c>
      <c r="R416" s="17">
        <f>IF($A416="","",$A416-WEEKDAY($A416,2)+1)</f>
        <v/>
      </c>
    </row>
    <row r="417">
      <c r="A417" s="5" t="n">
        <v>46239</v>
      </c>
      <c r="B417" s="4" t="inlineStr">
        <is>
          <t>Main branch</t>
        </is>
      </c>
      <c r="C417" s="4" t="inlineStr">
        <is>
          <t>Main 4</t>
        </is>
      </c>
      <c r="D417" s="4" t="inlineStr">
        <is>
          <t>Dr Sara Al Harbi</t>
        </is>
      </c>
      <c r="E417" s="4" t="inlineStr">
        <is>
          <t>P-2260</t>
        </is>
      </c>
      <c r="F417" s="4" t="inlineStr">
        <is>
          <t>Returning</t>
        </is>
      </c>
      <c r="G417" s="4" t="inlineStr">
        <is>
          <t>Walk-in</t>
        </is>
      </c>
      <c r="H417" s="4" t="inlineStr">
        <is>
          <t>Facial cleansing</t>
        </is>
      </c>
      <c r="I417" s="9">
        <f>IF($H417="","",IFERROR(INDEX('Settings'!$J$10:$J$39,MATCH($H417,'Settings'!$I$10:$I$39,0)),""))</f>
        <v/>
      </c>
      <c r="J417" s="6" t="n">
        <v>1</v>
      </c>
      <c r="K417" s="8" t="n">
        <v>400</v>
      </c>
      <c r="L417" s="8" t="n">
        <v>40</v>
      </c>
      <c r="M417" s="14">
        <f>IF($A417="","",$J417*$K417)</f>
        <v/>
      </c>
      <c r="N417" s="14">
        <f>IF($A417="","",$M417-$L417)</f>
        <v/>
      </c>
      <c r="O417" s="4" t="inlineStr">
        <is>
          <t>Cash</t>
        </is>
      </c>
      <c r="P417" s="15">
        <f>IF($A417="","",DATE(YEAR($A417),MONTH($A417),1))</f>
        <v/>
      </c>
      <c r="Q417" s="16">
        <f>IF($H417="","",$J417*IFERROR(INDEX('Settings'!$L$10:$L$39,MATCH($H417,'Settings'!$I$10:$I$39,0)),0))</f>
        <v/>
      </c>
      <c r="R417" s="17">
        <f>IF($A417="","",$A417-WEEKDAY($A417,2)+1)</f>
        <v/>
      </c>
    </row>
    <row r="418">
      <c r="A418" s="5" t="n">
        <v>46239</v>
      </c>
      <c r="B418" s="4" t="inlineStr">
        <is>
          <t>Main branch</t>
        </is>
      </c>
      <c r="C418" s="4" t="inlineStr">
        <is>
          <t>Main 4</t>
        </is>
      </c>
      <c r="D418" s="4" t="inlineStr">
        <is>
          <t>Dr Sara Al Harbi</t>
        </is>
      </c>
      <c r="E418" s="4" t="inlineStr">
        <is>
          <t>P-3080</t>
        </is>
      </c>
      <c r="F418" s="4" t="inlineStr">
        <is>
          <t>New</t>
        </is>
      </c>
      <c r="G418" s="4" t="inlineStr">
        <is>
          <t>WhatsApp</t>
        </is>
      </c>
      <c r="H418" s="4" t="inlineStr">
        <is>
          <t>Specialist consultation</t>
        </is>
      </c>
      <c r="I418" s="9">
        <f>IF($H418="","",IFERROR(INDEX('Settings'!$J$10:$J$39,MATCH($H418,'Settings'!$I$10:$I$39,0)),""))</f>
        <v/>
      </c>
      <c r="J418" s="6" t="n">
        <v>1</v>
      </c>
      <c r="K418" s="8" t="n">
        <v>350</v>
      </c>
      <c r="L418" s="8" t="n"/>
      <c r="M418" s="14">
        <f>IF($A418="","",$J418*$K418)</f>
        <v/>
      </c>
      <c r="N418" s="14">
        <f>IF($A418="","",$M418-$L418)</f>
        <v/>
      </c>
      <c r="O418" s="4" t="inlineStr">
        <is>
          <t>Card</t>
        </is>
      </c>
      <c r="P418" s="15">
        <f>IF($A418="","",DATE(YEAR($A418),MONTH($A418),1))</f>
        <v/>
      </c>
      <c r="Q418" s="16">
        <f>IF($H418="","",$J418*IFERROR(INDEX('Settings'!$L$10:$L$39,MATCH($H418,'Settings'!$I$10:$I$39,0)),0))</f>
        <v/>
      </c>
      <c r="R418" s="17">
        <f>IF($A418="","",$A418-WEEKDAY($A418,2)+1)</f>
        <v/>
      </c>
    </row>
    <row r="419">
      <c r="A419" s="5" t="n">
        <v>46239</v>
      </c>
      <c r="B419" s="4" t="inlineStr">
        <is>
          <t>North branch</t>
        </is>
      </c>
      <c r="C419" s="4" t="inlineStr">
        <is>
          <t>North 1</t>
        </is>
      </c>
      <c r="D419" s="4" t="inlineStr">
        <is>
          <t>Dr Mohamed Adel</t>
        </is>
      </c>
      <c r="E419" s="4" t="inlineStr">
        <is>
          <t>P-3060</t>
        </is>
      </c>
      <c r="F419" s="4" t="inlineStr">
        <is>
          <t>Returning</t>
        </is>
      </c>
      <c r="G419" s="4" t="inlineStr">
        <is>
          <t>Google</t>
        </is>
      </c>
      <c r="H419" s="4" t="inlineStr">
        <is>
          <t>Chemical peel</t>
        </is>
      </c>
      <c r="I419" s="9">
        <f>IF($H419="","",IFERROR(INDEX('Settings'!$J$10:$J$39,MATCH($H419,'Settings'!$I$10:$I$39,0)),""))</f>
        <v/>
      </c>
      <c r="J419" s="6" t="n">
        <v>1</v>
      </c>
      <c r="K419" s="8" t="n">
        <v>800</v>
      </c>
      <c r="L419" s="8" t="n">
        <v>40</v>
      </c>
      <c r="M419" s="14">
        <f>IF($A419="","",$J419*$K419)</f>
        <v/>
      </c>
      <c r="N419" s="14">
        <f>IF($A419="","",$M419-$L419)</f>
        <v/>
      </c>
      <c r="O419" s="4" t="inlineStr">
        <is>
          <t>Insurance</t>
        </is>
      </c>
      <c r="P419" s="15">
        <f>IF($A419="","",DATE(YEAR($A419),MONTH($A419),1))</f>
        <v/>
      </c>
      <c r="Q419" s="16">
        <f>IF($H419="","",$J419*IFERROR(INDEX('Settings'!$L$10:$L$39,MATCH($H419,'Settings'!$I$10:$I$39,0)),0))</f>
        <v/>
      </c>
      <c r="R419" s="17">
        <f>IF($A419="","",$A419-WEEKDAY($A419,2)+1)</f>
        <v/>
      </c>
    </row>
    <row r="420">
      <c r="A420" s="5" t="n">
        <v>46239</v>
      </c>
      <c r="B420" s="4" t="inlineStr">
        <is>
          <t>North branch</t>
        </is>
      </c>
      <c r="C420" s="4" t="inlineStr">
        <is>
          <t>North 1</t>
        </is>
      </c>
      <c r="D420" s="4" t="inlineStr">
        <is>
          <t>Dr Khaled Youssef</t>
        </is>
      </c>
      <c r="E420" s="4" t="inlineStr">
        <is>
          <t>P-2817</t>
        </is>
      </c>
      <c r="F420" s="4" t="inlineStr">
        <is>
          <t>Returning</t>
        </is>
      </c>
      <c r="G420" s="4" t="inlineStr">
        <is>
          <t>Referral</t>
        </is>
      </c>
      <c r="H420" s="4" t="inlineStr">
        <is>
          <t>Facial cleansing</t>
        </is>
      </c>
      <c r="I420" s="9">
        <f>IF($H420="","",IFERROR(INDEX('Settings'!$J$10:$J$39,MATCH($H420,'Settings'!$I$10:$I$39,0)),""))</f>
        <v/>
      </c>
      <c r="J420" s="6" t="n">
        <v>1</v>
      </c>
      <c r="K420" s="8" t="n">
        <v>400</v>
      </c>
      <c r="L420" s="8" t="n"/>
      <c r="M420" s="14">
        <f>IF($A420="","",$J420*$K420)</f>
        <v/>
      </c>
      <c r="N420" s="14">
        <f>IF($A420="","",$M420-$L420)</f>
        <v/>
      </c>
      <c r="O420" s="4" t="inlineStr">
        <is>
          <t>Card</t>
        </is>
      </c>
      <c r="P420" s="15">
        <f>IF($A420="","",DATE(YEAR($A420),MONTH($A420),1))</f>
        <v/>
      </c>
      <c r="Q420" s="16">
        <f>IF($H420="","",$J420*IFERROR(INDEX('Settings'!$L$10:$L$39,MATCH($H420,'Settings'!$I$10:$I$39,0)),0))</f>
        <v/>
      </c>
      <c r="R420" s="17">
        <f>IF($A420="","",$A420-WEEKDAY($A420,2)+1)</f>
        <v/>
      </c>
    </row>
    <row r="421">
      <c r="A421" s="5" t="n">
        <v>46239</v>
      </c>
      <c r="B421" s="4" t="inlineStr">
        <is>
          <t>North branch</t>
        </is>
      </c>
      <c r="C421" s="4" t="inlineStr">
        <is>
          <t>North 1</t>
        </is>
      </c>
      <c r="D421" s="4" t="inlineStr">
        <is>
          <t>Dr Mohamed Adel</t>
        </is>
      </c>
      <c r="E421" s="4" t="inlineStr">
        <is>
          <t>P-2629</t>
        </is>
      </c>
      <c r="F421" s="4" t="inlineStr">
        <is>
          <t>Returning</t>
        </is>
      </c>
      <c r="G421" s="4" t="inlineStr">
        <is>
          <t>WhatsApp</t>
        </is>
      </c>
      <c r="H421" s="4" t="inlineStr">
        <is>
          <t>Follow-up visit</t>
        </is>
      </c>
      <c r="I421" s="9">
        <f>IF($H421="","",IFERROR(INDEX('Settings'!$J$10:$J$39,MATCH($H421,'Settings'!$I$10:$I$39,0)),""))</f>
        <v/>
      </c>
      <c r="J421" s="6" t="n">
        <v>1</v>
      </c>
      <c r="K421" s="8" t="n">
        <v>150</v>
      </c>
      <c r="L421" s="8" t="n"/>
      <c r="M421" s="14">
        <f>IF($A421="","",$J421*$K421)</f>
        <v/>
      </c>
      <c r="N421" s="14">
        <f>IF($A421="","",$M421-$L421)</f>
        <v/>
      </c>
      <c r="O421" s="4" t="inlineStr">
        <is>
          <t>Cash</t>
        </is>
      </c>
      <c r="P421" s="15">
        <f>IF($A421="","",DATE(YEAR($A421),MONTH($A421),1))</f>
        <v/>
      </c>
      <c r="Q421" s="16">
        <f>IF($H421="","",$J421*IFERROR(INDEX('Settings'!$L$10:$L$39,MATCH($H421,'Settings'!$I$10:$I$39,0)),0))</f>
        <v/>
      </c>
      <c r="R421" s="17">
        <f>IF($A421="","",$A421-WEEKDAY($A421,2)+1)</f>
        <v/>
      </c>
    </row>
    <row r="422">
      <c r="A422" s="5" t="n">
        <v>46239</v>
      </c>
      <c r="B422" s="4" t="inlineStr">
        <is>
          <t>North branch</t>
        </is>
      </c>
      <c r="C422" s="4" t="inlineStr">
        <is>
          <t>North 1</t>
        </is>
      </c>
      <c r="D422" s="4" t="inlineStr">
        <is>
          <t>Dr Khaled Youssef</t>
        </is>
      </c>
      <c r="E422" s="4" t="inlineStr">
        <is>
          <t>P-2465</t>
        </is>
      </c>
      <c r="F422" s="4" t="inlineStr">
        <is>
          <t>Returning</t>
        </is>
      </c>
      <c r="G422" s="4" t="inlineStr">
        <is>
          <t>Instagram</t>
        </is>
      </c>
      <c r="H422" s="4" t="inlineStr">
        <is>
          <t>Follow-up visit</t>
        </is>
      </c>
      <c r="I422" s="9">
        <f>IF($H422="","",IFERROR(INDEX('Settings'!$J$10:$J$39,MATCH($H422,'Settings'!$I$10:$I$39,0)),""))</f>
        <v/>
      </c>
      <c r="J422" s="6" t="n">
        <v>1</v>
      </c>
      <c r="K422" s="8" t="n">
        <v>150</v>
      </c>
      <c r="L422" s="8" t="n"/>
      <c r="M422" s="14">
        <f>IF($A422="","",$J422*$K422)</f>
        <v/>
      </c>
      <c r="N422" s="14">
        <f>IF($A422="","",$M422-$L422)</f>
        <v/>
      </c>
      <c r="O422" s="4" t="inlineStr">
        <is>
          <t>Cash</t>
        </is>
      </c>
      <c r="P422" s="15">
        <f>IF($A422="","",DATE(YEAR($A422),MONTH($A422),1))</f>
        <v/>
      </c>
      <c r="Q422" s="16">
        <f>IF($H422="","",$J422*IFERROR(INDEX('Settings'!$L$10:$L$39,MATCH($H422,'Settings'!$I$10:$I$39,0)),0))</f>
        <v/>
      </c>
      <c r="R422" s="17">
        <f>IF($A422="","",$A422-WEEKDAY($A422,2)+1)</f>
        <v/>
      </c>
    </row>
    <row r="423">
      <c r="A423" s="5" t="n">
        <v>46239</v>
      </c>
      <c r="B423" s="4" t="inlineStr">
        <is>
          <t>North branch</t>
        </is>
      </c>
      <c r="C423" s="4" t="inlineStr">
        <is>
          <t>North 1</t>
        </is>
      </c>
      <c r="D423" s="4" t="inlineStr">
        <is>
          <t>Dr Mohamed Adel</t>
        </is>
      </c>
      <c r="E423" s="4" t="inlineStr">
        <is>
          <t>P-2394</t>
        </is>
      </c>
      <c r="F423" s="4" t="inlineStr">
        <is>
          <t>New</t>
        </is>
      </c>
      <c r="G423" s="4" t="inlineStr">
        <is>
          <t>Instagram</t>
        </is>
      </c>
      <c r="H423" s="4" t="inlineStr">
        <is>
          <t>Botulinum toxin</t>
        </is>
      </c>
      <c r="I423" s="9">
        <f>IF($H423="","",IFERROR(INDEX('Settings'!$J$10:$J$39,MATCH($H423,'Settings'!$I$10:$I$39,0)),""))</f>
        <v/>
      </c>
      <c r="J423" s="6" t="n">
        <v>1</v>
      </c>
      <c r="K423" s="8" t="n">
        <v>1500</v>
      </c>
      <c r="L423" s="8" t="n">
        <v>150</v>
      </c>
      <c r="M423" s="14">
        <f>IF($A423="","",$J423*$K423)</f>
        <v/>
      </c>
      <c r="N423" s="14">
        <f>IF($A423="","",$M423-$L423)</f>
        <v/>
      </c>
      <c r="O423" s="4" t="inlineStr">
        <is>
          <t>Card</t>
        </is>
      </c>
      <c r="P423" s="15">
        <f>IF($A423="","",DATE(YEAR($A423),MONTH($A423),1))</f>
        <v/>
      </c>
      <c r="Q423" s="16">
        <f>IF($H423="","",$J423*IFERROR(INDEX('Settings'!$L$10:$L$39,MATCH($H423,'Settings'!$I$10:$I$39,0)),0))</f>
        <v/>
      </c>
      <c r="R423" s="17">
        <f>IF($A423="","",$A423-WEEKDAY($A423,2)+1)</f>
        <v/>
      </c>
    </row>
    <row r="424">
      <c r="A424" s="5" t="n">
        <v>46239</v>
      </c>
      <c r="B424" s="4" t="inlineStr">
        <is>
          <t>North branch</t>
        </is>
      </c>
      <c r="C424" s="4" t="inlineStr">
        <is>
          <t>North 1</t>
        </is>
      </c>
      <c r="D424" s="4" t="inlineStr">
        <is>
          <t>Dr Mohamed Adel</t>
        </is>
      </c>
      <c r="E424" s="4" t="inlineStr">
        <is>
          <t>P-2511</t>
        </is>
      </c>
      <c r="F424" s="4" t="inlineStr">
        <is>
          <t>New</t>
        </is>
      </c>
      <c r="G424" s="4" t="inlineStr">
        <is>
          <t>Instagram</t>
        </is>
      </c>
      <c r="H424" s="4" t="inlineStr">
        <is>
          <t>Sunscreen cream</t>
        </is>
      </c>
      <c r="I424" s="9">
        <f>IF($H424="","",IFERROR(INDEX('Settings'!$J$10:$J$39,MATCH($H424,'Settings'!$I$10:$I$39,0)),""))</f>
        <v/>
      </c>
      <c r="J424" s="6" t="n">
        <v>2</v>
      </c>
      <c r="K424" s="8" t="n">
        <v>120</v>
      </c>
      <c r="L424" s="8" t="n"/>
      <c r="M424" s="14">
        <f>IF($A424="","",$J424*$K424)</f>
        <v/>
      </c>
      <c r="N424" s="14">
        <f>IF($A424="","",$M424-$L424)</f>
        <v/>
      </c>
      <c r="O424" s="4" t="inlineStr">
        <is>
          <t>Payment link</t>
        </is>
      </c>
      <c r="P424" s="15">
        <f>IF($A424="","",DATE(YEAR($A424),MONTH($A424),1))</f>
        <v/>
      </c>
      <c r="Q424" s="16">
        <f>IF($H424="","",$J424*IFERROR(INDEX('Settings'!$L$10:$L$39,MATCH($H424,'Settings'!$I$10:$I$39,0)),0))</f>
        <v/>
      </c>
      <c r="R424" s="17">
        <f>IF($A424="","",$A424-WEEKDAY($A424,2)+1)</f>
        <v/>
      </c>
    </row>
    <row r="425">
      <c r="A425" s="5" t="n">
        <v>46239</v>
      </c>
      <c r="B425" s="4" t="inlineStr">
        <is>
          <t>North branch</t>
        </is>
      </c>
      <c r="C425" s="4" t="inlineStr">
        <is>
          <t>North 1</t>
        </is>
      </c>
      <c r="D425" s="4" t="inlineStr">
        <is>
          <t>Dr Layla Al Qahtani</t>
        </is>
      </c>
      <c r="E425" s="4" t="inlineStr">
        <is>
          <t>P-3102</t>
        </is>
      </c>
      <c r="F425" s="4" t="inlineStr">
        <is>
          <t>Returning</t>
        </is>
      </c>
      <c r="G425" s="4" t="inlineStr">
        <is>
          <t>WhatsApp</t>
        </is>
      </c>
      <c r="H425" s="4" t="inlineStr">
        <is>
          <t>Skin tag removal</t>
        </is>
      </c>
      <c r="I425" s="9">
        <f>IF($H425="","",IFERROR(INDEX('Settings'!$J$10:$J$39,MATCH($H425,'Settings'!$I$10:$I$39,0)),""))</f>
        <v/>
      </c>
      <c r="J425" s="6" t="n">
        <v>1</v>
      </c>
      <c r="K425" s="8" t="n">
        <v>500</v>
      </c>
      <c r="L425" s="8" t="n"/>
      <c r="M425" s="14">
        <f>IF($A425="","",$J425*$K425)</f>
        <v/>
      </c>
      <c r="N425" s="14">
        <f>IF($A425="","",$M425-$L425)</f>
        <v/>
      </c>
      <c r="O425" s="4" t="inlineStr">
        <is>
          <t>Transfer</t>
        </is>
      </c>
      <c r="P425" s="15">
        <f>IF($A425="","",DATE(YEAR($A425),MONTH($A425),1))</f>
        <v/>
      </c>
      <c r="Q425" s="16">
        <f>IF($H425="","",$J425*IFERROR(INDEX('Settings'!$L$10:$L$39,MATCH($H425,'Settings'!$I$10:$I$39,0)),0))</f>
        <v/>
      </c>
      <c r="R425" s="17">
        <f>IF($A425="","",$A425-WEEKDAY($A425,2)+1)</f>
        <v/>
      </c>
    </row>
    <row r="426">
      <c r="A426" s="5" t="n">
        <v>46239</v>
      </c>
      <c r="B426" s="4" t="inlineStr">
        <is>
          <t>North branch</t>
        </is>
      </c>
      <c r="C426" s="4" t="inlineStr">
        <is>
          <t>North 1</t>
        </is>
      </c>
      <c r="D426" s="4" t="inlineStr">
        <is>
          <t>Dr Khaled Youssef</t>
        </is>
      </c>
      <c r="E426" s="4" t="inlineStr">
        <is>
          <t>P-2788</t>
        </is>
      </c>
      <c r="F426" s="4" t="inlineStr">
        <is>
          <t>Returning</t>
        </is>
      </c>
      <c r="G426" s="4" t="inlineStr">
        <is>
          <t>Referral</t>
        </is>
      </c>
      <c r="H426" s="4" t="inlineStr">
        <is>
          <t>Follow-up visit</t>
        </is>
      </c>
      <c r="I426" s="9">
        <f>IF($H426="","",IFERROR(INDEX('Settings'!$J$10:$J$39,MATCH($H426,'Settings'!$I$10:$I$39,0)),""))</f>
        <v/>
      </c>
      <c r="J426" s="6" t="n">
        <v>1</v>
      </c>
      <c r="K426" s="8" t="n">
        <v>150</v>
      </c>
      <c r="L426" s="8" t="n"/>
      <c r="M426" s="14">
        <f>IF($A426="","",$J426*$K426)</f>
        <v/>
      </c>
      <c r="N426" s="14">
        <f>IF($A426="","",$M426-$L426)</f>
        <v/>
      </c>
      <c r="O426" s="4" t="inlineStr">
        <is>
          <t>Card</t>
        </is>
      </c>
      <c r="P426" s="15">
        <f>IF($A426="","",DATE(YEAR($A426),MONTH($A426),1))</f>
        <v/>
      </c>
      <c r="Q426" s="16">
        <f>IF($H426="","",$J426*IFERROR(INDEX('Settings'!$L$10:$L$39,MATCH($H426,'Settings'!$I$10:$I$39,0)),0))</f>
        <v/>
      </c>
      <c r="R426" s="17">
        <f>IF($A426="","",$A426-WEEKDAY($A426,2)+1)</f>
        <v/>
      </c>
    </row>
    <row r="427">
      <c r="A427" s="5" t="n">
        <v>46239</v>
      </c>
      <c r="B427" s="4" t="inlineStr">
        <is>
          <t>North branch</t>
        </is>
      </c>
      <c r="C427" s="4" t="inlineStr">
        <is>
          <t>North 1</t>
        </is>
      </c>
      <c r="D427" s="4" t="inlineStr">
        <is>
          <t>Dr Khaled Youssef</t>
        </is>
      </c>
      <c r="E427" s="4" t="inlineStr">
        <is>
          <t>P-3113</t>
        </is>
      </c>
      <c r="F427" s="4" t="inlineStr">
        <is>
          <t>Returning</t>
        </is>
      </c>
      <c r="G427" s="4" t="inlineStr">
        <is>
          <t>Google</t>
        </is>
      </c>
      <c r="H427" s="4" t="inlineStr">
        <is>
          <t>Filler injection</t>
        </is>
      </c>
      <c r="I427" s="9">
        <f>IF($H427="","",IFERROR(INDEX('Settings'!$J$10:$J$39,MATCH($H427,'Settings'!$I$10:$I$39,0)),""))</f>
        <v/>
      </c>
      <c r="J427" s="6" t="n">
        <v>1</v>
      </c>
      <c r="K427" s="8" t="n">
        <v>1800</v>
      </c>
      <c r="L427" s="8" t="n"/>
      <c r="M427" s="14">
        <f>IF($A427="","",$J427*$K427)</f>
        <v/>
      </c>
      <c r="N427" s="14">
        <f>IF($A427="","",$M427-$L427)</f>
        <v/>
      </c>
      <c r="O427" s="4" t="inlineStr">
        <is>
          <t>Card</t>
        </is>
      </c>
      <c r="P427" s="15">
        <f>IF($A427="","",DATE(YEAR($A427),MONTH($A427),1))</f>
        <v/>
      </c>
      <c r="Q427" s="16">
        <f>IF($H427="","",$J427*IFERROR(INDEX('Settings'!$L$10:$L$39,MATCH($H427,'Settings'!$I$10:$I$39,0)),0))</f>
        <v/>
      </c>
      <c r="R427" s="17">
        <f>IF($A427="","",$A427-WEEKDAY($A427,2)+1)</f>
        <v/>
      </c>
    </row>
    <row r="428">
      <c r="A428" s="5" t="n">
        <v>46239</v>
      </c>
      <c r="B428" s="4" t="inlineStr">
        <is>
          <t>North branch</t>
        </is>
      </c>
      <c r="C428" s="4" t="inlineStr">
        <is>
          <t>North 2</t>
        </is>
      </c>
      <c r="D428" s="4" t="inlineStr">
        <is>
          <t>Dr Khaled Youssef</t>
        </is>
      </c>
      <c r="E428" s="4" t="inlineStr">
        <is>
          <t>P-2744</t>
        </is>
      </c>
      <c r="F428" s="4" t="inlineStr">
        <is>
          <t>Returning</t>
        </is>
      </c>
      <c r="G428" s="4" t="inlineStr">
        <is>
          <t>Google</t>
        </is>
      </c>
      <c r="H428" s="4" t="inlineStr">
        <is>
          <t>Physiotherapy session</t>
        </is>
      </c>
      <c r="I428" s="9">
        <f>IF($H428="","",IFERROR(INDEX('Settings'!$J$10:$J$39,MATCH($H428,'Settings'!$I$10:$I$39,0)),""))</f>
        <v/>
      </c>
      <c r="J428" s="6" t="n">
        <v>1</v>
      </c>
      <c r="K428" s="8" t="n">
        <v>300</v>
      </c>
      <c r="L428" s="8" t="n">
        <v>30</v>
      </c>
      <c r="M428" s="14">
        <f>IF($A428="","",$J428*$K428)</f>
        <v/>
      </c>
      <c r="N428" s="14">
        <f>IF($A428="","",$M428-$L428)</f>
        <v/>
      </c>
      <c r="O428" s="4" t="inlineStr">
        <is>
          <t>Insurance</t>
        </is>
      </c>
      <c r="P428" s="15">
        <f>IF($A428="","",DATE(YEAR($A428),MONTH($A428),1))</f>
        <v/>
      </c>
      <c r="Q428" s="16">
        <f>IF($H428="","",$J428*IFERROR(INDEX('Settings'!$L$10:$L$39,MATCH($H428,'Settings'!$I$10:$I$39,0)),0))</f>
        <v/>
      </c>
      <c r="R428" s="17">
        <f>IF($A428="","",$A428-WEEKDAY($A428,2)+1)</f>
        <v/>
      </c>
    </row>
    <row r="429">
      <c r="A429" s="5" t="n">
        <v>46239</v>
      </c>
      <c r="B429" s="4" t="inlineStr">
        <is>
          <t>North branch</t>
        </is>
      </c>
      <c r="C429" s="4" t="inlineStr">
        <is>
          <t>North 2</t>
        </is>
      </c>
      <c r="D429" s="4" t="inlineStr">
        <is>
          <t>Dr Mohamed Adel</t>
        </is>
      </c>
      <c r="E429" s="4" t="inlineStr">
        <is>
          <t>P-3207</t>
        </is>
      </c>
      <c r="F429" s="4" t="inlineStr">
        <is>
          <t>New</t>
        </is>
      </c>
      <c r="G429" s="4" t="inlineStr">
        <is>
          <t>WhatsApp</t>
        </is>
      </c>
      <c r="H429" s="4" t="inlineStr">
        <is>
          <t>Specialist consultation</t>
        </is>
      </c>
      <c r="I429" s="9">
        <f>IF($H429="","",IFERROR(INDEX('Settings'!$J$10:$J$39,MATCH($H429,'Settings'!$I$10:$I$39,0)),""))</f>
        <v/>
      </c>
      <c r="J429" s="6" t="n">
        <v>1</v>
      </c>
      <c r="K429" s="8" t="n">
        <v>350</v>
      </c>
      <c r="L429" s="8" t="n"/>
      <c r="M429" s="14">
        <f>IF($A429="","",$J429*$K429)</f>
        <v/>
      </c>
      <c r="N429" s="14">
        <f>IF($A429="","",$M429-$L429)</f>
        <v/>
      </c>
      <c r="O429" s="4" t="inlineStr">
        <is>
          <t>Cash</t>
        </is>
      </c>
      <c r="P429" s="15">
        <f>IF($A429="","",DATE(YEAR($A429),MONTH($A429),1))</f>
        <v/>
      </c>
      <c r="Q429" s="16">
        <f>IF($H429="","",$J429*IFERROR(INDEX('Settings'!$L$10:$L$39,MATCH($H429,'Settings'!$I$10:$I$39,0)),0))</f>
        <v/>
      </c>
      <c r="R429" s="17">
        <f>IF($A429="","",$A429-WEEKDAY($A429,2)+1)</f>
        <v/>
      </c>
    </row>
    <row r="430">
      <c r="A430" s="5" t="n">
        <v>46239</v>
      </c>
      <c r="B430" s="4" t="inlineStr">
        <is>
          <t>North branch</t>
        </is>
      </c>
      <c r="C430" s="4" t="inlineStr">
        <is>
          <t>North 2</t>
        </is>
      </c>
      <c r="D430" s="4" t="inlineStr">
        <is>
          <t>Dr Mohamed Adel</t>
        </is>
      </c>
      <c r="E430" s="4" t="inlineStr">
        <is>
          <t>P-2822</t>
        </is>
      </c>
      <c r="F430" s="4" t="inlineStr">
        <is>
          <t>Returning</t>
        </is>
      </c>
      <c r="G430" s="4" t="inlineStr">
        <is>
          <t>Google</t>
        </is>
      </c>
      <c r="H430" s="4" t="inlineStr">
        <is>
          <t>Botulinum toxin</t>
        </is>
      </c>
      <c r="I430" s="9">
        <f>IF($H430="","",IFERROR(INDEX('Settings'!$J$10:$J$39,MATCH($H430,'Settings'!$I$10:$I$39,0)),""))</f>
        <v/>
      </c>
      <c r="J430" s="6" t="n">
        <v>1</v>
      </c>
      <c r="K430" s="8" t="n">
        <v>1500</v>
      </c>
      <c r="L430" s="8" t="n"/>
      <c r="M430" s="14">
        <f>IF($A430="","",$J430*$K430)</f>
        <v/>
      </c>
      <c r="N430" s="14">
        <f>IF($A430="","",$M430-$L430)</f>
        <v/>
      </c>
      <c r="O430" s="4" t="inlineStr">
        <is>
          <t>Card</t>
        </is>
      </c>
      <c r="P430" s="15">
        <f>IF($A430="","",DATE(YEAR($A430),MONTH($A430),1))</f>
        <v/>
      </c>
      <c r="Q430" s="16">
        <f>IF($H430="","",$J430*IFERROR(INDEX('Settings'!$L$10:$L$39,MATCH($H430,'Settings'!$I$10:$I$39,0)),0))</f>
        <v/>
      </c>
      <c r="R430" s="17">
        <f>IF($A430="","",$A430-WEEKDAY($A430,2)+1)</f>
        <v/>
      </c>
    </row>
    <row r="431">
      <c r="A431" s="5" t="n">
        <v>46239</v>
      </c>
      <c r="B431" s="4" t="inlineStr">
        <is>
          <t>North branch</t>
        </is>
      </c>
      <c r="C431" s="4" t="inlineStr">
        <is>
          <t>North 2</t>
        </is>
      </c>
      <c r="D431" s="4" t="inlineStr">
        <is>
          <t>Dr Khaled Youssef</t>
        </is>
      </c>
      <c r="E431" s="4" t="inlineStr">
        <is>
          <t>P-2814</t>
        </is>
      </c>
      <c r="F431" s="4" t="inlineStr">
        <is>
          <t>Returning</t>
        </is>
      </c>
      <c r="G431" s="4" t="inlineStr">
        <is>
          <t>Google</t>
        </is>
      </c>
      <c r="H431" s="4" t="inlineStr">
        <is>
          <t>Laser session, face</t>
        </is>
      </c>
      <c r="I431" s="9">
        <f>IF($H431="","",IFERROR(INDEX('Settings'!$J$10:$J$39,MATCH($H431,'Settings'!$I$10:$I$39,0)),""))</f>
        <v/>
      </c>
      <c r="J431" s="6" t="n">
        <v>1</v>
      </c>
      <c r="K431" s="8" t="n">
        <v>600</v>
      </c>
      <c r="L431" s="8" t="n"/>
      <c r="M431" s="14">
        <f>IF($A431="","",$J431*$K431)</f>
        <v/>
      </c>
      <c r="N431" s="14">
        <f>IF($A431="","",$M431-$L431)</f>
        <v/>
      </c>
      <c r="O431" s="4" t="inlineStr">
        <is>
          <t>Card</t>
        </is>
      </c>
      <c r="P431" s="15">
        <f>IF($A431="","",DATE(YEAR($A431),MONTH($A431),1))</f>
        <v/>
      </c>
      <c r="Q431" s="16">
        <f>IF($H431="","",$J431*IFERROR(INDEX('Settings'!$L$10:$L$39,MATCH($H431,'Settings'!$I$10:$I$39,0)),0))</f>
        <v/>
      </c>
      <c r="R431" s="17">
        <f>IF($A431="","",$A431-WEEKDAY($A431,2)+1)</f>
        <v/>
      </c>
    </row>
    <row r="432">
      <c r="A432" s="5" t="n">
        <v>46240</v>
      </c>
      <c r="B432" s="4" t="inlineStr">
        <is>
          <t>Main branch</t>
        </is>
      </c>
      <c r="C432" s="4" t="inlineStr">
        <is>
          <t>Main 1</t>
        </is>
      </c>
      <c r="D432" s="4" t="inlineStr">
        <is>
          <t>Dr Sara Al Harbi</t>
        </is>
      </c>
      <c r="E432" s="4" t="inlineStr">
        <is>
          <t>P-3234</t>
        </is>
      </c>
      <c r="F432" s="4" t="inlineStr">
        <is>
          <t>Returning</t>
        </is>
      </c>
      <c r="G432" s="4" t="inlineStr">
        <is>
          <t>Walk-in</t>
        </is>
      </c>
      <c r="H432" s="4" t="inlineStr">
        <is>
          <t>Facial cleansing</t>
        </is>
      </c>
      <c r="I432" s="9">
        <f>IF($H432="","",IFERROR(INDEX('Settings'!$J$10:$J$39,MATCH($H432,'Settings'!$I$10:$I$39,0)),""))</f>
        <v/>
      </c>
      <c r="J432" s="6" t="n">
        <v>1</v>
      </c>
      <c r="K432" s="8" t="n">
        <v>400</v>
      </c>
      <c r="L432" s="8" t="n"/>
      <c r="M432" s="14">
        <f>IF($A432="","",$J432*$K432)</f>
        <v/>
      </c>
      <c r="N432" s="14">
        <f>IF($A432="","",$M432-$L432)</f>
        <v/>
      </c>
      <c r="O432" s="4" t="inlineStr">
        <is>
          <t>Cash</t>
        </is>
      </c>
      <c r="P432" s="15">
        <f>IF($A432="","",DATE(YEAR($A432),MONTH($A432),1))</f>
        <v/>
      </c>
      <c r="Q432" s="16">
        <f>IF($H432="","",$J432*IFERROR(INDEX('Settings'!$L$10:$L$39,MATCH($H432,'Settings'!$I$10:$I$39,0)),0))</f>
        <v/>
      </c>
      <c r="R432" s="17">
        <f>IF($A432="","",$A432-WEEKDAY($A432,2)+1)</f>
        <v/>
      </c>
    </row>
    <row r="433">
      <c r="A433" s="5" t="n">
        <v>46240</v>
      </c>
      <c r="B433" s="4" t="inlineStr">
        <is>
          <t>Main branch</t>
        </is>
      </c>
      <c r="C433" s="4" t="inlineStr">
        <is>
          <t>Main 1</t>
        </is>
      </c>
      <c r="D433" s="4" t="inlineStr">
        <is>
          <t>Dr Noura Al Subaie</t>
        </is>
      </c>
      <c r="E433" s="4" t="inlineStr">
        <is>
          <t>P-2286</t>
        </is>
      </c>
      <c r="F433" s="4" t="inlineStr">
        <is>
          <t>Returning</t>
        </is>
      </c>
      <c r="G433" s="4" t="inlineStr">
        <is>
          <t>WhatsApp</t>
        </is>
      </c>
      <c r="H433" s="4" t="inlineStr">
        <is>
          <t>Chemical peel</t>
        </is>
      </c>
      <c r="I433" s="9">
        <f>IF($H433="","",IFERROR(INDEX('Settings'!$J$10:$J$39,MATCH($H433,'Settings'!$I$10:$I$39,0)),""))</f>
        <v/>
      </c>
      <c r="J433" s="6" t="n">
        <v>1</v>
      </c>
      <c r="K433" s="8" t="n">
        <v>800</v>
      </c>
      <c r="L433" s="8" t="n"/>
      <c r="M433" s="14">
        <f>IF($A433="","",$J433*$K433)</f>
        <v/>
      </c>
      <c r="N433" s="14">
        <f>IF($A433="","",$M433-$L433)</f>
        <v/>
      </c>
      <c r="O433" s="4" t="inlineStr">
        <is>
          <t>Cash</t>
        </is>
      </c>
      <c r="P433" s="15">
        <f>IF($A433="","",DATE(YEAR($A433),MONTH($A433),1))</f>
        <v/>
      </c>
      <c r="Q433" s="16">
        <f>IF($H433="","",$J433*IFERROR(INDEX('Settings'!$L$10:$L$39,MATCH($H433,'Settings'!$I$10:$I$39,0)),0))</f>
        <v/>
      </c>
      <c r="R433" s="17">
        <f>IF($A433="","",$A433-WEEKDAY($A433,2)+1)</f>
        <v/>
      </c>
    </row>
    <row r="434">
      <c r="A434" s="5" t="n">
        <v>46240</v>
      </c>
      <c r="B434" s="4" t="inlineStr">
        <is>
          <t>Main branch</t>
        </is>
      </c>
      <c r="C434" s="4" t="inlineStr">
        <is>
          <t>Main 2</t>
        </is>
      </c>
      <c r="D434" s="4" t="inlineStr">
        <is>
          <t>Dr Sara Al Harbi</t>
        </is>
      </c>
      <c r="E434" s="4" t="inlineStr">
        <is>
          <t>P-2519</t>
        </is>
      </c>
      <c r="F434" s="4" t="inlineStr">
        <is>
          <t>New</t>
        </is>
      </c>
      <c r="G434" s="4" t="inlineStr">
        <is>
          <t>Google</t>
        </is>
      </c>
      <c r="H434" s="4" t="inlineStr">
        <is>
          <t>Facial cleansing</t>
        </is>
      </c>
      <c r="I434" s="9">
        <f>IF($H434="","",IFERROR(INDEX('Settings'!$J$10:$J$39,MATCH($H434,'Settings'!$I$10:$I$39,0)),""))</f>
        <v/>
      </c>
      <c r="J434" s="6" t="n">
        <v>1</v>
      </c>
      <c r="K434" s="8" t="n">
        <v>400</v>
      </c>
      <c r="L434" s="8" t="n"/>
      <c r="M434" s="14">
        <f>IF($A434="","",$J434*$K434)</f>
        <v/>
      </c>
      <c r="N434" s="14">
        <f>IF($A434="","",$M434-$L434)</f>
        <v/>
      </c>
      <c r="O434" s="4" t="inlineStr">
        <is>
          <t>Card</t>
        </is>
      </c>
      <c r="P434" s="15">
        <f>IF($A434="","",DATE(YEAR($A434),MONTH($A434),1))</f>
        <v/>
      </c>
      <c r="Q434" s="16">
        <f>IF($H434="","",$J434*IFERROR(INDEX('Settings'!$L$10:$L$39,MATCH($H434,'Settings'!$I$10:$I$39,0)),0))</f>
        <v/>
      </c>
      <c r="R434" s="17">
        <f>IF($A434="","",$A434-WEEKDAY($A434,2)+1)</f>
        <v/>
      </c>
    </row>
    <row r="435">
      <c r="A435" s="5" t="n">
        <v>46240</v>
      </c>
      <c r="B435" s="4" t="inlineStr">
        <is>
          <t>Main branch</t>
        </is>
      </c>
      <c r="C435" s="4" t="inlineStr">
        <is>
          <t>Main 3</t>
        </is>
      </c>
      <c r="D435" s="4" t="inlineStr">
        <is>
          <t>Dr Ahmed Mansour</t>
        </is>
      </c>
      <c r="E435" s="4" t="inlineStr">
        <is>
          <t>P-3182</t>
        </is>
      </c>
      <c r="F435" s="4" t="inlineStr">
        <is>
          <t>Returning</t>
        </is>
      </c>
      <c r="G435" s="4" t="inlineStr">
        <is>
          <t>Google</t>
        </is>
      </c>
      <c r="H435" s="4" t="inlineStr">
        <is>
          <t>Physiotherapy session</t>
        </is>
      </c>
      <c r="I435" s="9">
        <f>IF($H435="","",IFERROR(INDEX('Settings'!$J$10:$J$39,MATCH($H435,'Settings'!$I$10:$I$39,0)),""))</f>
        <v/>
      </c>
      <c r="J435" s="6" t="n">
        <v>1</v>
      </c>
      <c r="K435" s="8" t="n">
        <v>300</v>
      </c>
      <c r="L435" s="8" t="n"/>
      <c r="M435" s="14">
        <f>IF($A435="","",$J435*$K435)</f>
        <v/>
      </c>
      <c r="N435" s="14">
        <f>IF($A435="","",$M435-$L435)</f>
        <v/>
      </c>
      <c r="O435" s="4" t="inlineStr">
        <is>
          <t>Insurance</t>
        </is>
      </c>
      <c r="P435" s="15">
        <f>IF($A435="","",DATE(YEAR($A435),MONTH($A435),1))</f>
        <v/>
      </c>
      <c r="Q435" s="16">
        <f>IF($H435="","",$J435*IFERROR(INDEX('Settings'!$L$10:$L$39,MATCH($H435,'Settings'!$I$10:$I$39,0)),0))</f>
        <v/>
      </c>
      <c r="R435" s="17">
        <f>IF($A435="","",$A435-WEEKDAY($A435,2)+1)</f>
        <v/>
      </c>
    </row>
    <row r="436">
      <c r="A436" s="5" t="n">
        <v>46240</v>
      </c>
      <c r="B436" s="4" t="inlineStr">
        <is>
          <t>Main branch</t>
        </is>
      </c>
      <c r="C436" s="4" t="inlineStr">
        <is>
          <t>Main 3</t>
        </is>
      </c>
      <c r="D436" s="4" t="inlineStr">
        <is>
          <t>Dr Sara Al Harbi</t>
        </is>
      </c>
      <c r="E436" s="4" t="inlineStr">
        <is>
          <t>P-2404</t>
        </is>
      </c>
      <c r="F436" s="4" t="inlineStr">
        <is>
          <t>Returning</t>
        </is>
      </c>
      <c r="G436" s="4" t="inlineStr">
        <is>
          <t>Referral</t>
        </is>
      </c>
      <c r="H436" s="4" t="inlineStr">
        <is>
          <t>Laser session, face</t>
        </is>
      </c>
      <c r="I436" s="9">
        <f>IF($H436="","",IFERROR(INDEX('Settings'!$J$10:$J$39,MATCH($H436,'Settings'!$I$10:$I$39,0)),""))</f>
        <v/>
      </c>
      <c r="J436" s="6" t="n">
        <v>1</v>
      </c>
      <c r="K436" s="8" t="n">
        <v>600</v>
      </c>
      <c r="L436" s="8" t="n"/>
      <c r="M436" s="14">
        <f>IF($A436="","",$J436*$K436)</f>
        <v/>
      </c>
      <c r="N436" s="14">
        <f>IF($A436="","",$M436-$L436)</f>
        <v/>
      </c>
      <c r="O436" s="4" t="inlineStr">
        <is>
          <t>Payment link</t>
        </is>
      </c>
      <c r="P436" s="15">
        <f>IF($A436="","",DATE(YEAR($A436),MONTH($A436),1))</f>
        <v/>
      </c>
      <c r="Q436" s="16">
        <f>IF($H436="","",$J436*IFERROR(INDEX('Settings'!$L$10:$L$39,MATCH($H436,'Settings'!$I$10:$I$39,0)),0))</f>
        <v/>
      </c>
      <c r="R436" s="17">
        <f>IF($A436="","",$A436-WEEKDAY($A436,2)+1)</f>
        <v/>
      </c>
    </row>
    <row r="437">
      <c r="A437" s="5" t="n">
        <v>46240</v>
      </c>
      <c r="B437" s="4" t="inlineStr">
        <is>
          <t>Main branch</t>
        </is>
      </c>
      <c r="C437" s="4" t="inlineStr">
        <is>
          <t>Main 3</t>
        </is>
      </c>
      <c r="D437" s="4" t="inlineStr">
        <is>
          <t>Dr Sara Al Harbi</t>
        </is>
      </c>
      <c r="E437" s="4" t="inlineStr">
        <is>
          <t>P-2910</t>
        </is>
      </c>
      <c r="F437" s="4" t="inlineStr">
        <is>
          <t>Returning</t>
        </is>
      </c>
      <c r="G437" s="4" t="inlineStr">
        <is>
          <t>WhatsApp</t>
        </is>
      </c>
      <c r="H437" s="4" t="inlineStr">
        <is>
          <t>Follow-up visit</t>
        </is>
      </c>
      <c r="I437" s="9">
        <f>IF($H437="","",IFERROR(INDEX('Settings'!$J$10:$J$39,MATCH($H437,'Settings'!$I$10:$I$39,0)),""))</f>
        <v/>
      </c>
      <c r="J437" s="6" t="n">
        <v>1</v>
      </c>
      <c r="K437" s="8" t="n">
        <v>150</v>
      </c>
      <c r="L437" s="8" t="n"/>
      <c r="M437" s="14">
        <f>IF($A437="","",$J437*$K437)</f>
        <v/>
      </c>
      <c r="N437" s="14">
        <f>IF($A437="","",$M437-$L437)</f>
        <v/>
      </c>
      <c r="O437" s="4" t="inlineStr">
        <is>
          <t>Cash</t>
        </is>
      </c>
      <c r="P437" s="15">
        <f>IF($A437="","",DATE(YEAR($A437),MONTH($A437),1))</f>
        <v/>
      </c>
      <c r="Q437" s="16">
        <f>IF($H437="","",$J437*IFERROR(INDEX('Settings'!$L$10:$L$39,MATCH($H437,'Settings'!$I$10:$I$39,0)),0))</f>
        <v/>
      </c>
      <c r="R437" s="17">
        <f>IF($A437="","",$A437-WEEKDAY($A437,2)+1)</f>
        <v/>
      </c>
    </row>
    <row r="438">
      <c r="A438" s="5" t="n">
        <v>46240</v>
      </c>
      <c r="B438" s="4" t="inlineStr">
        <is>
          <t>Main branch</t>
        </is>
      </c>
      <c r="C438" s="4" t="inlineStr">
        <is>
          <t>Main 4</t>
        </is>
      </c>
      <c r="D438" s="4" t="inlineStr">
        <is>
          <t>Dr Sara Al Harbi</t>
        </is>
      </c>
      <c r="E438" s="4" t="inlineStr">
        <is>
          <t>P-3384</t>
        </is>
      </c>
      <c r="F438" s="4" t="inlineStr">
        <is>
          <t>Returning</t>
        </is>
      </c>
      <c r="G438" s="4" t="inlineStr">
        <is>
          <t>Referral</t>
        </is>
      </c>
      <c r="H438" s="4" t="inlineStr">
        <is>
          <t>Vitamin C serum</t>
        </is>
      </c>
      <c r="I438" s="9">
        <f>IF($H438="","",IFERROR(INDEX('Settings'!$J$10:$J$39,MATCH($H438,'Settings'!$I$10:$I$39,0)),""))</f>
        <v/>
      </c>
      <c r="J438" s="6" t="n">
        <v>1</v>
      </c>
      <c r="K438" s="8" t="n">
        <v>220</v>
      </c>
      <c r="L438" s="8" t="n"/>
      <c r="M438" s="14">
        <f>IF($A438="","",$J438*$K438)</f>
        <v/>
      </c>
      <c r="N438" s="14">
        <f>IF($A438="","",$M438-$L438)</f>
        <v/>
      </c>
      <c r="O438" s="4" t="inlineStr">
        <is>
          <t>Cash</t>
        </is>
      </c>
      <c r="P438" s="15">
        <f>IF($A438="","",DATE(YEAR($A438),MONTH($A438),1))</f>
        <v/>
      </c>
      <c r="Q438" s="16">
        <f>IF($H438="","",$J438*IFERROR(INDEX('Settings'!$L$10:$L$39,MATCH($H438,'Settings'!$I$10:$I$39,0)),0))</f>
        <v/>
      </c>
      <c r="R438" s="17">
        <f>IF($A438="","",$A438-WEEKDAY($A438,2)+1)</f>
        <v/>
      </c>
    </row>
    <row r="439">
      <c r="A439" s="5" t="n">
        <v>46240</v>
      </c>
      <c r="B439" s="4" t="inlineStr">
        <is>
          <t>North branch</t>
        </is>
      </c>
      <c r="C439" s="4" t="inlineStr">
        <is>
          <t>North 1</t>
        </is>
      </c>
      <c r="D439" s="4" t="inlineStr">
        <is>
          <t>Dr Khaled Youssef</t>
        </is>
      </c>
      <c r="E439" s="4" t="inlineStr">
        <is>
          <t>P-3074</t>
        </is>
      </c>
      <c r="F439" s="4" t="inlineStr">
        <is>
          <t>Returning</t>
        </is>
      </c>
      <c r="G439" s="4" t="inlineStr">
        <is>
          <t>Instagram</t>
        </is>
      </c>
      <c r="H439" s="4" t="inlineStr">
        <is>
          <t>Sunscreen cream</t>
        </is>
      </c>
      <c r="I439" s="9">
        <f>IF($H439="","",IFERROR(INDEX('Settings'!$J$10:$J$39,MATCH($H439,'Settings'!$I$10:$I$39,0)),""))</f>
        <v/>
      </c>
      <c r="J439" s="6" t="n">
        <v>2</v>
      </c>
      <c r="K439" s="8" t="n">
        <v>120</v>
      </c>
      <c r="L439" s="8" t="n">
        <v>20</v>
      </c>
      <c r="M439" s="14">
        <f>IF($A439="","",$J439*$K439)</f>
        <v/>
      </c>
      <c r="N439" s="14">
        <f>IF($A439="","",$M439-$L439)</f>
        <v/>
      </c>
      <c r="O439" s="4" t="inlineStr">
        <is>
          <t>Card</t>
        </is>
      </c>
      <c r="P439" s="15">
        <f>IF($A439="","",DATE(YEAR($A439),MONTH($A439),1))</f>
        <v/>
      </c>
      <c r="Q439" s="16">
        <f>IF($H439="","",$J439*IFERROR(INDEX('Settings'!$L$10:$L$39,MATCH($H439,'Settings'!$I$10:$I$39,0)),0))</f>
        <v/>
      </c>
      <c r="R439" s="17">
        <f>IF($A439="","",$A439-WEEKDAY($A439,2)+1)</f>
        <v/>
      </c>
    </row>
    <row r="440">
      <c r="A440" s="5" t="n">
        <v>46240</v>
      </c>
      <c r="B440" s="4" t="inlineStr">
        <is>
          <t>North branch</t>
        </is>
      </c>
      <c r="C440" s="4" t="inlineStr">
        <is>
          <t>North 1</t>
        </is>
      </c>
      <c r="D440" s="4" t="inlineStr">
        <is>
          <t>Dr Khaled Youssef</t>
        </is>
      </c>
      <c r="E440" s="4" t="inlineStr">
        <is>
          <t>P-2362</t>
        </is>
      </c>
      <c r="F440" s="4" t="inlineStr">
        <is>
          <t>Returning</t>
        </is>
      </c>
      <c r="G440" s="4" t="inlineStr">
        <is>
          <t>Referral</t>
        </is>
      </c>
      <c r="H440" s="4" t="inlineStr">
        <is>
          <t>Physiotherapy session</t>
        </is>
      </c>
      <c r="I440" s="9">
        <f>IF($H440="","",IFERROR(INDEX('Settings'!$J$10:$J$39,MATCH($H440,'Settings'!$I$10:$I$39,0)),""))</f>
        <v/>
      </c>
      <c r="J440" s="6" t="n">
        <v>1</v>
      </c>
      <c r="K440" s="8" t="n">
        <v>300</v>
      </c>
      <c r="L440" s="8" t="n"/>
      <c r="M440" s="14">
        <f>IF($A440="","",$J440*$K440)</f>
        <v/>
      </c>
      <c r="N440" s="14">
        <f>IF($A440="","",$M440-$L440)</f>
        <v/>
      </c>
      <c r="O440" s="4" t="inlineStr">
        <is>
          <t>Card</t>
        </is>
      </c>
      <c r="P440" s="15">
        <f>IF($A440="","",DATE(YEAR($A440),MONTH($A440),1))</f>
        <v/>
      </c>
      <c r="Q440" s="16">
        <f>IF($H440="","",$J440*IFERROR(INDEX('Settings'!$L$10:$L$39,MATCH($H440,'Settings'!$I$10:$I$39,0)),0))</f>
        <v/>
      </c>
      <c r="R440" s="17">
        <f>IF($A440="","",$A440-WEEKDAY($A440,2)+1)</f>
        <v/>
      </c>
    </row>
    <row r="441">
      <c r="A441" s="5" t="n">
        <v>46240</v>
      </c>
      <c r="B441" s="4" t="inlineStr">
        <is>
          <t>North branch</t>
        </is>
      </c>
      <c r="C441" s="4" t="inlineStr">
        <is>
          <t>North 1</t>
        </is>
      </c>
      <c r="D441" s="4" t="inlineStr">
        <is>
          <t>Dr Khaled Youssef</t>
        </is>
      </c>
      <c r="E441" s="4" t="inlineStr">
        <is>
          <t>P-2924</t>
        </is>
      </c>
      <c r="F441" s="4" t="inlineStr">
        <is>
          <t>New</t>
        </is>
      </c>
      <c r="G441" s="4" t="inlineStr">
        <is>
          <t>Instagram</t>
        </is>
      </c>
      <c r="H441" s="4" t="inlineStr">
        <is>
          <t>Laser session, face</t>
        </is>
      </c>
      <c r="I441" s="9">
        <f>IF($H441="","",IFERROR(INDEX('Settings'!$J$10:$J$39,MATCH($H441,'Settings'!$I$10:$I$39,0)),""))</f>
        <v/>
      </c>
      <c r="J441" s="6" t="n">
        <v>1</v>
      </c>
      <c r="K441" s="8" t="n">
        <v>600</v>
      </c>
      <c r="L441" s="8" t="n"/>
      <c r="M441" s="14">
        <f>IF($A441="","",$J441*$K441)</f>
        <v/>
      </c>
      <c r="N441" s="14">
        <f>IF($A441="","",$M441-$L441)</f>
        <v/>
      </c>
      <c r="O441" s="4" t="inlineStr">
        <is>
          <t>Card</t>
        </is>
      </c>
      <c r="P441" s="15">
        <f>IF($A441="","",DATE(YEAR($A441),MONTH($A441),1))</f>
        <v/>
      </c>
      <c r="Q441" s="16">
        <f>IF($H441="","",$J441*IFERROR(INDEX('Settings'!$L$10:$L$39,MATCH($H441,'Settings'!$I$10:$I$39,0)),0))</f>
        <v/>
      </c>
      <c r="R441" s="17">
        <f>IF($A441="","",$A441-WEEKDAY($A441,2)+1)</f>
        <v/>
      </c>
    </row>
    <row r="442">
      <c r="A442" s="5" t="n">
        <v>46240</v>
      </c>
      <c r="B442" s="4" t="inlineStr">
        <is>
          <t>North branch</t>
        </is>
      </c>
      <c r="C442" s="4" t="inlineStr">
        <is>
          <t>North 1</t>
        </is>
      </c>
      <c r="D442" s="4" t="inlineStr">
        <is>
          <t>Dr Layla Al Qahtani</t>
        </is>
      </c>
      <c r="E442" s="4" t="inlineStr">
        <is>
          <t>P-2743</t>
        </is>
      </c>
      <c r="F442" s="4" t="inlineStr">
        <is>
          <t>New</t>
        </is>
      </c>
      <c r="G442" s="4" t="inlineStr">
        <is>
          <t>WhatsApp</t>
        </is>
      </c>
      <c r="H442" s="4" t="inlineStr">
        <is>
          <t>Specialist consultation</t>
        </is>
      </c>
      <c r="I442" s="9">
        <f>IF($H442="","",IFERROR(INDEX('Settings'!$J$10:$J$39,MATCH($H442,'Settings'!$I$10:$I$39,0)),""))</f>
        <v/>
      </c>
      <c r="J442" s="6" t="n">
        <v>1</v>
      </c>
      <c r="K442" s="8" t="n">
        <v>350</v>
      </c>
      <c r="L442" s="8" t="n"/>
      <c r="M442" s="14">
        <f>IF($A442="","",$J442*$K442)</f>
        <v/>
      </c>
      <c r="N442" s="14">
        <f>IF($A442="","",$M442-$L442)</f>
        <v/>
      </c>
      <c r="O442" s="4" t="inlineStr">
        <is>
          <t>Card</t>
        </is>
      </c>
      <c r="P442" s="15">
        <f>IF($A442="","",DATE(YEAR($A442),MONTH($A442),1))</f>
        <v/>
      </c>
      <c r="Q442" s="16">
        <f>IF($H442="","",$J442*IFERROR(INDEX('Settings'!$L$10:$L$39,MATCH($H442,'Settings'!$I$10:$I$39,0)),0))</f>
        <v/>
      </c>
      <c r="R442" s="17">
        <f>IF($A442="","",$A442-WEEKDAY($A442,2)+1)</f>
        <v/>
      </c>
    </row>
    <row r="443">
      <c r="A443" s="5" t="n">
        <v>46240</v>
      </c>
      <c r="B443" s="4" t="inlineStr">
        <is>
          <t>North branch</t>
        </is>
      </c>
      <c r="C443" s="4" t="inlineStr">
        <is>
          <t>North 1</t>
        </is>
      </c>
      <c r="D443" s="4" t="inlineStr">
        <is>
          <t>Dr Khaled Youssef</t>
        </is>
      </c>
      <c r="E443" s="4" t="inlineStr">
        <is>
          <t>P-2185</t>
        </is>
      </c>
      <c r="F443" s="4" t="inlineStr">
        <is>
          <t>New</t>
        </is>
      </c>
      <c r="G443" s="4" t="inlineStr">
        <is>
          <t>Walk-in</t>
        </is>
      </c>
      <c r="H443" s="4" t="inlineStr">
        <is>
          <t>Follow-up visit</t>
        </is>
      </c>
      <c r="I443" s="9">
        <f>IF($H443="","",IFERROR(INDEX('Settings'!$J$10:$J$39,MATCH($H443,'Settings'!$I$10:$I$39,0)),""))</f>
        <v/>
      </c>
      <c r="J443" s="6" t="n">
        <v>1</v>
      </c>
      <c r="K443" s="8" t="n">
        <v>150</v>
      </c>
      <c r="L443" s="8" t="n"/>
      <c r="M443" s="14">
        <f>IF($A443="","",$J443*$K443)</f>
        <v/>
      </c>
      <c r="N443" s="14">
        <f>IF($A443="","",$M443-$L443)</f>
        <v/>
      </c>
      <c r="O443" s="4" t="inlineStr">
        <is>
          <t>Cash</t>
        </is>
      </c>
      <c r="P443" s="15">
        <f>IF($A443="","",DATE(YEAR($A443),MONTH($A443),1))</f>
        <v/>
      </c>
      <c r="Q443" s="16">
        <f>IF($H443="","",$J443*IFERROR(INDEX('Settings'!$L$10:$L$39,MATCH($H443,'Settings'!$I$10:$I$39,0)),0))</f>
        <v/>
      </c>
      <c r="R443" s="17">
        <f>IF($A443="","",$A443-WEEKDAY($A443,2)+1)</f>
        <v/>
      </c>
    </row>
    <row r="444">
      <c r="A444" s="5" t="n">
        <v>46240</v>
      </c>
      <c r="B444" s="4" t="inlineStr">
        <is>
          <t>North branch</t>
        </is>
      </c>
      <c r="C444" s="4" t="inlineStr">
        <is>
          <t>North 2</t>
        </is>
      </c>
      <c r="D444" s="4" t="inlineStr">
        <is>
          <t>Dr Khaled Youssef</t>
        </is>
      </c>
      <c r="E444" s="4" t="inlineStr">
        <is>
          <t>P-3210</t>
        </is>
      </c>
      <c r="F444" s="4" t="inlineStr">
        <is>
          <t>New</t>
        </is>
      </c>
      <c r="G444" s="4" t="inlineStr">
        <is>
          <t>WhatsApp</t>
        </is>
      </c>
      <c r="H444" s="4" t="inlineStr">
        <is>
          <t>Laser session, face</t>
        </is>
      </c>
      <c r="I444" s="9">
        <f>IF($H444="","",IFERROR(INDEX('Settings'!$J$10:$J$39,MATCH($H444,'Settings'!$I$10:$I$39,0)),""))</f>
        <v/>
      </c>
      <c r="J444" s="6" t="n">
        <v>1</v>
      </c>
      <c r="K444" s="8" t="n">
        <v>600</v>
      </c>
      <c r="L444" s="8" t="n"/>
      <c r="M444" s="14">
        <f>IF($A444="","",$J444*$K444)</f>
        <v/>
      </c>
      <c r="N444" s="14">
        <f>IF($A444="","",$M444-$L444)</f>
        <v/>
      </c>
      <c r="O444" s="4" t="inlineStr">
        <is>
          <t>Cash</t>
        </is>
      </c>
      <c r="P444" s="15">
        <f>IF($A444="","",DATE(YEAR($A444),MONTH($A444),1))</f>
        <v/>
      </c>
      <c r="Q444" s="16">
        <f>IF($H444="","",$J444*IFERROR(INDEX('Settings'!$L$10:$L$39,MATCH($H444,'Settings'!$I$10:$I$39,0)),0))</f>
        <v/>
      </c>
      <c r="R444" s="17">
        <f>IF($A444="","",$A444-WEEKDAY($A444,2)+1)</f>
        <v/>
      </c>
    </row>
    <row r="445">
      <c r="A445" s="5" t="n">
        <v>46240</v>
      </c>
      <c r="B445" s="4" t="inlineStr">
        <is>
          <t>North branch</t>
        </is>
      </c>
      <c r="C445" s="4" t="inlineStr">
        <is>
          <t>North 2</t>
        </is>
      </c>
      <c r="D445" s="4" t="inlineStr">
        <is>
          <t>Dr Layla Al Qahtani</t>
        </is>
      </c>
      <c r="E445" s="4" t="inlineStr">
        <is>
          <t>P-2466</t>
        </is>
      </c>
      <c r="F445" s="4" t="inlineStr">
        <is>
          <t>New</t>
        </is>
      </c>
      <c r="G445" s="4" t="inlineStr">
        <is>
          <t>WhatsApp</t>
        </is>
      </c>
      <c r="H445" s="4" t="inlineStr">
        <is>
          <t>Laser session, face</t>
        </is>
      </c>
      <c r="I445" s="9">
        <f>IF($H445="","",IFERROR(INDEX('Settings'!$J$10:$J$39,MATCH($H445,'Settings'!$I$10:$I$39,0)),""))</f>
        <v/>
      </c>
      <c r="J445" s="6" t="n">
        <v>1</v>
      </c>
      <c r="K445" s="8" t="n">
        <v>600</v>
      </c>
      <c r="L445" s="8" t="n"/>
      <c r="M445" s="14">
        <f>IF($A445="","",$J445*$K445)</f>
        <v/>
      </c>
      <c r="N445" s="14">
        <f>IF($A445="","",$M445-$L445)</f>
        <v/>
      </c>
      <c r="O445" s="4" t="inlineStr">
        <is>
          <t>Insurance</t>
        </is>
      </c>
      <c r="P445" s="15">
        <f>IF($A445="","",DATE(YEAR($A445),MONTH($A445),1))</f>
        <v/>
      </c>
      <c r="Q445" s="16">
        <f>IF($H445="","",$J445*IFERROR(INDEX('Settings'!$L$10:$L$39,MATCH($H445,'Settings'!$I$10:$I$39,0)),0))</f>
        <v/>
      </c>
      <c r="R445" s="17">
        <f>IF($A445="","",$A445-WEEKDAY($A445,2)+1)</f>
        <v/>
      </c>
    </row>
    <row r="446">
      <c r="A446" s="5" t="n">
        <v>46242</v>
      </c>
      <c r="B446" s="4" t="inlineStr">
        <is>
          <t>Main branch</t>
        </is>
      </c>
      <c r="C446" s="4" t="inlineStr">
        <is>
          <t>Main 1</t>
        </is>
      </c>
      <c r="D446" s="4" t="inlineStr">
        <is>
          <t>Dr Ahmed Mansour</t>
        </is>
      </c>
      <c r="E446" s="4" t="inlineStr">
        <is>
          <t>P-2199</t>
        </is>
      </c>
      <c r="F446" s="4" t="inlineStr">
        <is>
          <t>Returning</t>
        </is>
      </c>
      <c r="G446" s="4" t="inlineStr">
        <is>
          <t>Walk-in</t>
        </is>
      </c>
      <c r="H446" s="4" t="inlineStr">
        <is>
          <t>Facial cleansing</t>
        </is>
      </c>
      <c r="I446" s="9">
        <f>IF($H446="","",IFERROR(INDEX('Settings'!$J$10:$J$39,MATCH($H446,'Settings'!$I$10:$I$39,0)),""))</f>
        <v/>
      </c>
      <c r="J446" s="6" t="n">
        <v>1</v>
      </c>
      <c r="K446" s="8" t="n">
        <v>400</v>
      </c>
      <c r="L446" s="8" t="n">
        <v>20</v>
      </c>
      <c r="M446" s="14">
        <f>IF($A446="","",$J446*$K446)</f>
        <v/>
      </c>
      <c r="N446" s="14">
        <f>IF($A446="","",$M446-$L446)</f>
        <v/>
      </c>
      <c r="O446" s="4" t="inlineStr">
        <is>
          <t>Cash</t>
        </is>
      </c>
      <c r="P446" s="15">
        <f>IF($A446="","",DATE(YEAR($A446),MONTH($A446),1))</f>
        <v/>
      </c>
      <c r="Q446" s="16">
        <f>IF($H446="","",$J446*IFERROR(INDEX('Settings'!$L$10:$L$39,MATCH($H446,'Settings'!$I$10:$I$39,0)),0))</f>
        <v/>
      </c>
      <c r="R446" s="17">
        <f>IF($A446="","",$A446-WEEKDAY($A446,2)+1)</f>
        <v/>
      </c>
    </row>
    <row r="447">
      <c r="A447" s="5" t="n">
        <v>46242</v>
      </c>
      <c r="B447" s="4" t="inlineStr">
        <is>
          <t>Main branch</t>
        </is>
      </c>
      <c r="C447" s="4" t="inlineStr">
        <is>
          <t>Main 2</t>
        </is>
      </c>
      <c r="D447" s="4" t="inlineStr">
        <is>
          <t>Dr Sara Al Harbi</t>
        </is>
      </c>
      <c r="E447" s="4" t="inlineStr">
        <is>
          <t>P-2915</t>
        </is>
      </c>
      <c r="F447" s="4" t="inlineStr">
        <is>
          <t>New</t>
        </is>
      </c>
      <c r="G447" s="4" t="inlineStr">
        <is>
          <t>Instagram</t>
        </is>
      </c>
      <c r="H447" s="4" t="inlineStr">
        <is>
          <t>Specialist consultation</t>
        </is>
      </c>
      <c r="I447" s="9">
        <f>IF($H447="","",IFERROR(INDEX('Settings'!$J$10:$J$39,MATCH($H447,'Settings'!$I$10:$I$39,0)),""))</f>
        <v/>
      </c>
      <c r="J447" s="6" t="n">
        <v>1</v>
      </c>
      <c r="K447" s="8" t="n">
        <v>350</v>
      </c>
      <c r="L447" s="8" t="n"/>
      <c r="M447" s="14">
        <f>IF($A447="","",$J447*$K447)</f>
        <v/>
      </c>
      <c r="N447" s="14">
        <f>IF($A447="","",$M447-$L447)</f>
        <v/>
      </c>
      <c r="O447" s="4" t="inlineStr">
        <is>
          <t>Cash</t>
        </is>
      </c>
      <c r="P447" s="15">
        <f>IF($A447="","",DATE(YEAR($A447),MONTH($A447),1))</f>
        <v/>
      </c>
      <c r="Q447" s="16">
        <f>IF($H447="","",$J447*IFERROR(INDEX('Settings'!$L$10:$L$39,MATCH($H447,'Settings'!$I$10:$I$39,0)),0))</f>
        <v/>
      </c>
      <c r="R447" s="17">
        <f>IF($A447="","",$A447-WEEKDAY($A447,2)+1)</f>
        <v/>
      </c>
    </row>
    <row r="448">
      <c r="A448" s="5" t="n">
        <v>46242</v>
      </c>
      <c r="B448" s="4" t="inlineStr">
        <is>
          <t>Main branch</t>
        </is>
      </c>
      <c r="C448" s="4" t="inlineStr">
        <is>
          <t>Main 2</t>
        </is>
      </c>
      <c r="D448" s="4" t="inlineStr">
        <is>
          <t>Dr Sara Al Harbi</t>
        </is>
      </c>
      <c r="E448" s="4" t="inlineStr">
        <is>
          <t>P-2965</t>
        </is>
      </c>
      <c r="F448" s="4" t="inlineStr">
        <is>
          <t>Returning</t>
        </is>
      </c>
      <c r="G448" s="4" t="inlineStr">
        <is>
          <t>Instagram</t>
        </is>
      </c>
      <c r="H448" s="4" t="inlineStr">
        <is>
          <t>Specialist consultation</t>
        </is>
      </c>
      <c r="I448" s="9">
        <f>IF($H448="","",IFERROR(INDEX('Settings'!$J$10:$J$39,MATCH($H448,'Settings'!$I$10:$I$39,0)),""))</f>
        <v/>
      </c>
      <c r="J448" s="6" t="n">
        <v>1</v>
      </c>
      <c r="K448" s="8" t="n">
        <v>350</v>
      </c>
      <c r="L448" s="8" t="n"/>
      <c r="M448" s="14">
        <f>IF($A448="","",$J448*$K448)</f>
        <v/>
      </c>
      <c r="N448" s="14">
        <f>IF($A448="","",$M448-$L448)</f>
        <v/>
      </c>
      <c r="O448" s="4" t="inlineStr">
        <is>
          <t>Transfer</t>
        </is>
      </c>
      <c r="P448" s="15">
        <f>IF($A448="","",DATE(YEAR($A448),MONTH($A448),1))</f>
        <v/>
      </c>
      <c r="Q448" s="16">
        <f>IF($H448="","",$J448*IFERROR(INDEX('Settings'!$L$10:$L$39,MATCH($H448,'Settings'!$I$10:$I$39,0)),0))</f>
        <v/>
      </c>
      <c r="R448" s="17">
        <f>IF($A448="","",$A448-WEEKDAY($A448,2)+1)</f>
        <v/>
      </c>
    </row>
    <row r="449">
      <c r="A449" s="5" t="n">
        <v>46242</v>
      </c>
      <c r="B449" s="4" t="inlineStr">
        <is>
          <t>Main branch</t>
        </is>
      </c>
      <c r="C449" s="4" t="inlineStr">
        <is>
          <t>Main 2</t>
        </is>
      </c>
      <c r="D449" s="4" t="inlineStr">
        <is>
          <t>Dr Ahmed Mansour</t>
        </is>
      </c>
      <c r="E449" s="4" t="inlineStr">
        <is>
          <t>P-2392</t>
        </is>
      </c>
      <c r="F449" s="4" t="inlineStr">
        <is>
          <t>Returning</t>
        </is>
      </c>
      <c r="G449" s="4" t="inlineStr">
        <is>
          <t>Referral</t>
        </is>
      </c>
      <c r="H449" s="4" t="inlineStr">
        <is>
          <t>Physiotherapy session</t>
        </is>
      </c>
      <c r="I449" s="9">
        <f>IF($H449="","",IFERROR(INDEX('Settings'!$J$10:$J$39,MATCH($H449,'Settings'!$I$10:$I$39,0)),""))</f>
        <v/>
      </c>
      <c r="J449" s="6" t="n">
        <v>1</v>
      </c>
      <c r="K449" s="8" t="n">
        <v>300</v>
      </c>
      <c r="L449" s="8" t="n"/>
      <c r="M449" s="14">
        <f>IF($A449="","",$J449*$K449)</f>
        <v/>
      </c>
      <c r="N449" s="14">
        <f>IF($A449="","",$M449-$L449)</f>
        <v/>
      </c>
      <c r="O449" s="4" t="inlineStr">
        <is>
          <t>Card</t>
        </is>
      </c>
      <c r="P449" s="15">
        <f>IF($A449="","",DATE(YEAR($A449),MONTH($A449),1))</f>
        <v/>
      </c>
      <c r="Q449" s="16">
        <f>IF($H449="","",$J449*IFERROR(INDEX('Settings'!$L$10:$L$39,MATCH($H449,'Settings'!$I$10:$I$39,0)),0))</f>
        <v/>
      </c>
      <c r="R449" s="17">
        <f>IF($A449="","",$A449-WEEKDAY($A449,2)+1)</f>
        <v/>
      </c>
    </row>
    <row r="450">
      <c r="A450" s="5" t="n">
        <v>46242</v>
      </c>
      <c r="B450" s="4" t="inlineStr">
        <is>
          <t>Main branch</t>
        </is>
      </c>
      <c r="C450" s="4" t="inlineStr">
        <is>
          <t>Main 2</t>
        </is>
      </c>
      <c r="D450" s="4" t="inlineStr">
        <is>
          <t>Dr Sara Al Harbi</t>
        </is>
      </c>
      <c r="E450" s="4" t="inlineStr">
        <is>
          <t>P-3272</t>
        </is>
      </c>
      <c r="F450" s="4" t="inlineStr">
        <is>
          <t>Returning</t>
        </is>
      </c>
      <c r="G450" s="4" t="inlineStr">
        <is>
          <t>Instagram</t>
        </is>
      </c>
      <c r="H450" s="4" t="inlineStr">
        <is>
          <t>Sunscreen cream</t>
        </is>
      </c>
      <c r="I450" s="9">
        <f>IF($H450="","",IFERROR(INDEX('Settings'!$J$10:$J$39,MATCH($H450,'Settings'!$I$10:$I$39,0)),""))</f>
        <v/>
      </c>
      <c r="J450" s="6" t="n">
        <v>1</v>
      </c>
      <c r="K450" s="8" t="n">
        <v>120</v>
      </c>
      <c r="L450" s="8" t="n"/>
      <c r="M450" s="14">
        <f>IF($A450="","",$J450*$K450)</f>
        <v/>
      </c>
      <c r="N450" s="14">
        <f>IF($A450="","",$M450-$L450)</f>
        <v/>
      </c>
      <c r="O450" s="4" t="inlineStr">
        <is>
          <t>Payment link</t>
        </is>
      </c>
      <c r="P450" s="15">
        <f>IF($A450="","",DATE(YEAR($A450),MONTH($A450),1))</f>
        <v/>
      </c>
      <c r="Q450" s="16">
        <f>IF($H450="","",$J450*IFERROR(INDEX('Settings'!$L$10:$L$39,MATCH($H450,'Settings'!$I$10:$I$39,0)),0))</f>
        <v/>
      </c>
      <c r="R450" s="17">
        <f>IF($A450="","",$A450-WEEKDAY($A450,2)+1)</f>
        <v/>
      </c>
    </row>
    <row r="451">
      <c r="A451" s="5" t="n">
        <v>46242</v>
      </c>
      <c r="B451" s="4" t="inlineStr">
        <is>
          <t>Main branch</t>
        </is>
      </c>
      <c r="C451" s="4" t="inlineStr">
        <is>
          <t>Main 3</t>
        </is>
      </c>
      <c r="D451" s="4" t="inlineStr">
        <is>
          <t>Dr Ahmed Mansour</t>
        </is>
      </c>
      <c r="E451" s="4" t="inlineStr">
        <is>
          <t>P-2629</t>
        </is>
      </c>
      <c r="F451" s="4" t="inlineStr">
        <is>
          <t>Returning</t>
        </is>
      </c>
      <c r="G451" s="4" t="inlineStr">
        <is>
          <t>Instagram</t>
        </is>
      </c>
      <c r="H451" s="4" t="inlineStr">
        <is>
          <t>Laser session, face</t>
        </is>
      </c>
      <c r="I451" s="9">
        <f>IF($H451="","",IFERROR(INDEX('Settings'!$J$10:$J$39,MATCH($H451,'Settings'!$I$10:$I$39,0)),""))</f>
        <v/>
      </c>
      <c r="J451" s="6" t="n">
        <v>1</v>
      </c>
      <c r="K451" s="8" t="n">
        <v>600</v>
      </c>
      <c r="L451" s="8" t="n"/>
      <c r="M451" s="14">
        <f>IF($A451="","",$J451*$K451)</f>
        <v/>
      </c>
      <c r="N451" s="14">
        <f>IF($A451="","",$M451-$L451)</f>
        <v/>
      </c>
      <c r="O451" s="4" t="inlineStr">
        <is>
          <t>Payment link</t>
        </is>
      </c>
      <c r="P451" s="15">
        <f>IF($A451="","",DATE(YEAR($A451),MONTH($A451),1))</f>
        <v/>
      </c>
      <c r="Q451" s="16">
        <f>IF($H451="","",$J451*IFERROR(INDEX('Settings'!$L$10:$L$39,MATCH($H451,'Settings'!$I$10:$I$39,0)),0))</f>
        <v/>
      </c>
      <c r="R451" s="17">
        <f>IF($A451="","",$A451-WEEKDAY($A451,2)+1)</f>
        <v/>
      </c>
    </row>
    <row r="452">
      <c r="A452" s="5" t="n">
        <v>46242</v>
      </c>
      <c r="B452" s="4" t="inlineStr">
        <is>
          <t>Main branch</t>
        </is>
      </c>
      <c r="C452" s="4" t="inlineStr">
        <is>
          <t>Main 3</t>
        </is>
      </c>
      <c r="D452" s="4" t="inlineStr">
        <is>
          <t>Dr Ahmed Mansour</t>
        </is>
      </c>
      <c r="E452" s="4" t="inlineStr">
        <is>
          <t>P-2974</t>
        </is>
      </c>
      <c r="F452" s="4" t="inlineStr">
        <is>
          <t>New</t>
        </is>
      </c>
      <c r="G452" s="4" t="inlineStr">
        <is>
          <t>WhatsApp</t>
        </is>
      </c>
      <c r="H452" s="4" t="inlineStr">
        <is>
          <t>Vitamin C serum</t>
        </is>
      </c>
      <c r="I452" s="9">
        <f>IF($H452="","",IFERROR(INDEX('Settings'!$J$10:$J$39,MATCH($H452,'Settings'!$I$10:$I$39,0)),""))</f>
        <v/>
      </c>
      <c r="J452" s="6" t="n">
        <v>1</v>
      </c>
      <c r="K452" s="8" t="n">
        <v>220</v>
      </c>
      <c r="L452" s="8" t="n"/>
      <c r="M452" s="14">
        <f>IF($A452="","",$J452*$K452)</f>
        <v/>
      </c>
      <c r="N452" s="14">
        <f>IF($A452="","",$M452-$L452)</f>
        <v/>
      </c>
      <c r="O452" s="4" t="inlineStr">
        <is>
          <t>Cash</t>
        </is>
      </c>
      <c r="P452" s="15">
        <f>IF($A452="","",DATE(YEAR($A452),MONTH($A452),1))</f>
        <v/>
      </c>
      <c r="Q452" s="16">
        <f>IF($H452="","",$J452*IFERROR(INDEX('Settings'!$L$10:$L$39,MATCH($H452,'Settings'!$I$10:$I$39,0)),0))</f>
        <v/>
      </c>
      <c r="R452" s="17">
        <f>IF($A452="","",$A452-WEEKDAY($A452,2)+1)</f>
        <v/>
      </c>
    </row>
    <row r="453">
      <c r="A453" s="5" t="n">
        <v>46242</v>
      </c>
      <c r="B453" s="4" t="inlineStr">
        <is>
          <t>Main branch</t>
        </is>
      </c>
      <c r="C453" s="4" t="inlineStr">
        <is>
          <t>Main 3</t>
        </is>
      </c>
      <c r="D453" s="4" t="inlineStr">
        <is>
          <t>Dr Sara Al Harbi</t>
        </is>
      </c>
      <c r="E453" s="4" t="inlineStr">
        <is>
          <t>P-3207</t>
        </is>
      </c>
      <c r="F453" s="4" t="inlineStr">
        <is>
          <t>New</t>
        </is>
      </c>
      <c r="G453" s="4" t="inlineStr">
        <is>
          <t>Referral</t>
        </is>
      </c>
      <c r="H453" s="4" t="inlineStr">
        <is>
          <t>Specialist consultation</t>
        </is>
      </c>
      <c r="I453" s="9">
        <f>IF($H453="","",IFERROR(INDEX('Settings'!$J$10:$J$39,MATCH($H453,'Settings'!$I$10:$I$39,0)),""))</f>
        <v/>
      </c>
      <c r="J453" s="6" t="n">
        <v>1</v>
      </c>
      <c r="K453" s="8" t="n">
        <v>350</v>
      </c>
      <c r="L453" s="8" t="n"/>
      <c r="M453" s="14">
        <f>IF($A453="","",$J453*$K453)</f>
        <v/>
      </c>
      <c r="N453" s="14">
        <f>IF($A453="","",$M453-$L453)</f>
        <v/>
      </c>
      <c r="O453" s="4" t="inlineStr">
        <is>
          <t>Card</t>
        </is>
      </c>
      <c r="P453" s="15">
        <f>IF($A453="","",DATE(YEAR($A453),MONTH($A453),1))</f>
        <v/>
      </c>
      <c r="Q453" s="16">
        <f>IF($H453="","",$J453*IFERROR(INDEX('Settings'!$L$10:$L$39,MATCH($H453,'Settings'!$I$10:$I$39,0)),0))</f>
        <v/>
      </c>
      <c r="R453" s="17">
        <f>IF($A453="","",$A453-WEEKDAY($A453,2)+1)</f>
        <v/>
      </c>
    </row>
    <row r="454">
      <c r="A454" s="5" t="n">
        <v>46242</v>
      </c>
      <c r="B454" s="4" t="inlineStr">
        <is>
          <t>Main branch</t>
        </is>
      </c>
      <c r="C454" s="4" t="inlineStr">
        <is>
          <t>Main 4</t>
        </is>
      </c>
      <c r="D454" s="4" t="inlineStr">
        <is>
          <t>Dr Sara Al Harbi</t>
        </is>
      </c>
      <c r="E454" s="4" t="inlineStr">
        <is>
          <t>P-3461</t>
        </is>
      </c>
      <c r="F454" s="4" t="inlineStr">
        <is>
          <t>New</t>
        </is>
      </c>
      <c r="G454" s="4" t="inlineStr">
        <is>
          <t>Instagram</t>
        </is>
      </c>
      <c r="H454" s="4" t="inlineStr">
        <is>
          <t>Facial cleansing</t>
        </is>
      </c>
      <c r="I454" s="9">
        <f>IF($H454="","",IFERROR(INDEX('Settings'!$J$10:$J$39,MATCH($H454,'Settings'!$I$10:$I$39,0)),""))</f>
        <v/>
      </c>
      <c r="J454" s="6" t="n">
        <v>1</v>
      </c>
      <c r="K454" s="8" t="n">
        <v>400</v>
      </c>
      <c r="L454" s="8" t="n">
        <v>40</v>
      </c>
      <c r="M454" s="14">
        <f>IF($A454="","",$J454*$K454)</f>
        <v/>
      </c>
      <c r="N454" s="14">
        <f>IF($A454="","",$M454-$L454)</f>
        <v/>
      </c>
      <c r="O454" s="4" t="inlineStr">
        <is>
          <t>Card</t>
        </is>
      </c>
      <c r="P454" s="15">
        <f>IF($A454="","",DATE(YEAR($A454),MONTH($A454),1))</f>
        <v/>
      </c>
      <c r="Q454" s="16">
        <f>IF($H454="","",$J454*IFERROR(INDEX('Settings'!$L$10:$L$39,MATCH($H454,'Settings'!$I$10:$I$39,0)),0))</f>
        <v/>
      </c>
      <c r="R454" s="17">
        <f>IF($A454="","",$A454-WEEKDAY($A454,2)+1)</f>
        <v/>
      </c>
    </row>
    <row r="455">
      <c r="A455" s="5" t="n">
        <v>46242</v>
      </c>
      <c r="B455" s="4" t="inlineStr">
        <is>
          <t>Main branch</t>
        </is>
      </c>
      <c r="C455" s="4" t="inlineStr">
        <is>
          <t>Main 4</t>
        </is>
      </c>
      <c r="D455" s="4" t="inlineStr">
        <is>
          <t>Dr Ahmed Mansour</t>
        </is>
      </c>
      <c r="E455" s="4" t="inlineStr">
        <is>
          <t>P-2962</t>
        </is>
      </c>
      <c r="F455" s="4" t="inlineStr">
        <is>
          <t>Returning</t>
        </is>
      </c>
      <c r="G455" s="4" t="inlineStr">
        <is>
          <t>Instagram</t>
        </is>
      </c>
      <c r="H455" s="4" t="inlineStr">
        <is>
          <t>Physiotherapy session</t>
        </is>
      </c>
      <c r="I455" s="9">
        <f>IF($H455="","",IFERROR(INDEX('Settings'!$J$10:$J$39,MATCH($H455,'Settings'!$I$10:$I$39,0)),""))</f>
        <v/>
      </c>
      <c r="J455" s="6" t="n">
        <v>1</v>
      </c>
      <c r="K455" s="8" t="n">
        <v>300</v>
      </c>
      <c r="L455" s="8" t="n"/>
      <c r="M455" s="14">
        <f>IF($A455="","",$J455*$K455)</f>
        <v/>
      </c>
      <c r="N455" s="14">
        <f>IF($A455="","",$M455-$L455)</f>
        <v/>
      </c>
      <c r="O455" s="4" t="inlineStr">
        <is>
          <t>Payment link</t>
        </is>
      </c>
      <c r="P455" s="15">
        <f>IF($A455="","",DATE(YEAR($A455),MONTH($A455),1))</f>
        <v/>
      </c>
      <c r="Q455" s="16">
        <f>IF($H455="","",$J455*IFERROR(INDEX('Settings'!$L$10:$L$39,MATCH($H455,'Settings'!$I$10:$I$39,0)),0))</f>
        <v/>
      </c>
      <c r="R455" s="17">
        <f>IF($A455="","",$A455-WEEKDAY($A455,2)+1)</f>
        <v/>
      </c>
    </row>
    <row r="456">
      <c r="A456" s="5" t="n">
        <v>46242</v>
      </c>
      <c r="B456" s="4" t="inlineStr">
        <is>
          <t>North branch</t>
        </is>
      </c>
      <c r="C456" s="4" t="inlineStr">
        <is>
          <t>North 1</t>
        </is>
      </c>
      <c r="D456" s="4" t="inlineStr">
        <is>
          <t>Dr Khaled Youssef</t>
        </is>
      </c>
      <c r="E456" s="4" t="inlineStr">
        <is>
          <t>P-3150</t>
        </is>
      </c>
      <c r="F456" s="4" t="inlineStr">
        <is>
          <t>New</t>
        </is>
      </c>
      <c r="G456" s="4" t="inlineStr">
        <is>
          <t>Instagram</t>
        </is>
      </c>
      <c r="H456" s="4" t="inlineStr">
        <is>
          <t>Skin tag removal</t>
        </is>
      </c>
      <c r="I456" s="9">
        <f>IF($H456="","",IFERROR(INDEX('Settings'!$J$10:$J$39,MATCH($H456,'Settings'!$I$10:$I$39,0)),""))</f>
        <v/>
      </c>
      <c r="J456" s="6" t="n">
        <v>1</v>
      </c>
      <c r="K456" s="8" t="n">
        <v>500</v>
      </c>
      <c r="L456" s="8" t="n"/>
      <c r="M456" s="14">
        <f>IF($A456="","",$J456*$K456)</f>
        <v/>
      </c>
      <c r="N456" s="14">
        <f>IF($A456="","",$M456-$L456)</f>
        <v/>
      </c>
      <c r="O456" s="4" t="inlineStr">
        <is>
          <t>Cash</t>
        </is>
      </c>
      <c r="P456" s="15">
        <f>IF($A456="","",DATE(YEAR($A456),MONTH($A456),1))</f>
        <v/>
      </c>
      <c r="Q456" s="16">
        <f>IF($H456="","",$J456*IFERROR(INDEX('Settings'!$L$10:$L$39,MATCH($H456,'Settings'!$I$10:$I$39,0)),0))</f>
        <v/>
      </c>
      <c r="R456" s="17">
        <f>IF($A456="","",$A456-WEEKDAY($A456,2)+1)</f>
        <v/>
      </c>
    </row>
    <row r="457">
      <c r="A457" s="5" t="n">
        <v>46242</v>
      </c>
      <c r="B457" s="4" t="inlineStr">
        <is>
          <t>North branch</t>
        </is>
      </c>
      <c r="C457" s="4" t="inlineStr">
        <is>
          <t>North 1</t>
        </is>
      </c>
      <c r="D457" s="4" t="inlineStr">
        <is>
          <t>Dr Layla Al Qahtani</t>
        </is>
      </c>
      <c r="E457" s="4" t="inlineStr">
        <is>
          <t>P-3212</t>
        </is>
      </c>
      <c r="F457" s="4" t="inlineStr">
        <is>
          <t>Returning</t>
        </is>
      </c>
      <c r="G457" s="4" t="inlineStr">
        <is>
          <t>WhatsApp</t>
        </is>
      </c>
      <c r="H457" s="4" t="inlineStr">
        <is>
          <t>Follow-up visit</t>
        </is>
      </c>
      <c r="I457" s="9">
        <f>IF($H457="","",IFERROR(INDEX('Settings'!$J$10:$J$39,MATCH($H457,'Settings'!$I$10:$I$39,0)),""))</f>
        <v/>
      </c>
      <c r="J457" s="6" t="n">
        <v>1</v>
      </c>
      <c r="K457" s="8" t="n">
        <v>150</v>
      </c>
      <c r="L457" s="8" t="n"/>
      <c r="M457" s="14">
        <f>IF($A457="","",$J457*$K457)</f>
        <v/>
      </c>
      <c r="N457" s="14">
        <f>IF($A457="","",$M457-$L457)</f>
        <v/>
      </c>
      <c r="O457" s="4" t="inlineStr">
        <is>
          <t>Payment link</t>
        </is>
      </c>
      <c r="P457" s="15">
        <f>IF($A457="","",DATE(YEAR($A457),MONTH($A457),1))</f>
        <v/>
      </c>
      <c r="Q457" s="16">
        <f>IF($H457="","",$J457*IFERROR(INDEX('Settings'!$L$10:$L$39,MATCH($H457,'Settings'!$I$10:$I$39,0)),0))</f>
        <v/>
      </c>
      <c r="R457" s="17">
        <f>IF($A457="","",$A457-WEEKDAY($A457,2)+1)</f>
        <v/>
      </c>
    </row>
    <row r="458">
      <c r="A458" s="5" t="n">
        <v>46242</v>
      </c>
      <c r="B458" s="4" t="inlineStr">
        <is>
          <t>North branch</t>
        </is>
      </c>
      <c r="C458" s="4" t="inlineStr">
        <is>
          <t>North 2</t>
        </is>
      </c>
      <c r="D458" s="4" t="inlineStr">
        <is>
          <t>Dr Mohamed Adel</t>
        </is>
      </c>
      <c r="E458" s="4" t="inlineStr">
        <is>
          <t>P-2897</t>
        </is>
      </c>
      <c r="F458" s="4" t="inlineStr">
        <is>
          <t>Returning</t>
        </is>
      </c>
      <c r="G458" s="4" t="inlineStr">
        <is>
          <t>Instagram</t>
        </is>
      </c>
      <c r="H458" s="4" t="inlineStr">
        <is>
          <t>Facial cleansing</t>
        </is>
      </c>
      <c r="I458" s="9">
        <f>IF($H458="","",IFERROR(INDEX('Settings'!$J$10:$J$39,MATCH($H458,'Settings'!$I$10:$I$39,0)),""))</f>
        <v/>
      </c>
      <c r="J458" s="6" t="n">
        <v>1</v>
      </c>
      <c r="K458" s="8" t="n">
        <v>400</v>
      </c>
      <c r="L458" s="8" t="n">
        <v>40</v>
      </c>
      <c r="M458" s="14">
        <f>IF($A458="","",$J458*$K458)</f>
        <v/>
      </c>
      <c r="N458" s="14">
        <f>IF($A458="","",$M458-$L458)</f>
        <v/>
      </c>
      <c r="O458" s="4" t="inlineStr">
        <is>
          <t>Cash</t>
        </is>
      </c>
      <c r="P458" s="15">
        <f>IF($A458="","",DATE(YEAR($A458),MONTH($A458),1))</f>
        <v/>
      </c>
      <c r="Q458" s="16">
        <f>IF($H458="","",$J458*IFERROR(INDEX('Settings'!$L$10:$L$39,MATCH($H458,'Settings'!$I$10:$I$39,0)),0))</f>
        <v/>
      </c>
      <c r="R458" s="17">
        <f>IF($A458="","",$A458-WEEKDAY($A458,2)+1)</f>
        <v/>
      </c>
    </row>
    <row r="459">
      <c r="A459" s="5" t="n">
        <v>46242</v>
      </c>
      <c r="B459" s="4" t="inlineStr">
        <is>
          <t>North branch</t>
        </is>
      </c>
      <c r="C459" s="4" t="inlineStr">
        <is>
          <t>North 2</t>
        </is>
      </c>
      <c r="D459" s="4" t="inlineStr">
        <is>
          <t>Dr Khaled Youssef</t>
        </is>
      </c>
      <c r="E459" s="4" t="inlineStr">
        <is>
          <t>P-3375</t>
        </is>
      </c>
      <c r="F459" s="4" t="inlineStr">
        <is>
          <t>Returning</t>
        </is>
      </c>
      <c r="G459" s="4" t="inlineStr">
        <is>
          <t>Referral</t>
        </is>
      </c>
      <c r="H459" s="4" t="inlineStr">
        <is>
          <t>Specialist consultation</t>
        </is>
      </c>
      <c r="I459" s="9">
        <f>IF($H459="","",IFERROR(INDEX('Settings'!$J$10:$J$39,MATCH($H459,'Settings'!$I$10:$I$39,0)),""))</f>
        <v/>
      </c>
      <c r="J459" s="6" t="n">
        <v>1</v>
      </c>
      <c r="K459" s="8" t="n">
        <v>350</v>
      </c>
      <c r="L459" s="8" t="n"/>
      <c r="M459" s="14">
        <f>IF($A459="","",$J459*$K459)</f>
        <v/>
      </c>
      <c r="N459" s="14">
        <f>IF($A459="","",$M459-$L459)</f>
        <v/>
      </c>
      <c r="O459" s="4" t="inlineStr">
        <is>
          <t>Payment link</t>
        </is>
      </c>
      <c r="P459" s="15">
        <f>IF($A459="","",DATE(YEAR($A459),MONTH($A459),1))</f>
        <v/>
      </c>
      <c r="Q459" s="16">
        <f>IF($H459="","",$J459*IFERROR(INDEX('Settings'!$L$10:$L$39,MATCH($H459,'Settings'!$I$10:$I$39,0)),0))</f>
        <v/>
      </c>
      <c r="R459" s="17">
        <f>IF($A459="","",$A459-WEEKDAY($A459,2)+1)</f>
        <v/>
      </c>
    </row>
    <row r="460">
      <c r="A460" s="5" t="n">
        <v>46242</v>
      </c>
      <c r="B460" s="4" t="inlineStr">
        <is>
          <t>North branch</t>
        </is>
      </c>
      <c r="C460" s="4" t="inlineStr">
        <is>
          <t>North 2</t>
        </is>
      </c>
      <c r="D460" s="4" t="inlineStr">
        <is>
          <t>Dr Khaled Youssef</t>
        </is>
      </c>
      <c r="E460" s="4" t="inlineStr">
        <is>
          <t>P-2542</t>
        </is>
      </c>
      <c r="F460" s="4" t="inlineStr">
        <is>
          <t>Returning</t>
        </is>
      </c>
      <c r="G460" s="4" t="inlineStr">
        <is>
          <t>Referral</t>
        </is>
      </c>
      <c r="H460" s="4" t="inlineStr">
        <is>
          <t>Specialist consultation</t>
        </is>
      </c>
      <c r="I460" s="9">
        <f>IF($H460="","",IFERROR(INDEX('Settings'!$J$10:$J$39,MATCH($H460,'Settings'!$I$10:$I$39,0)),""))</f>
        <v/>
      </c>
      <c r="J460" s="6" t="n">
        <v>1</v>
      </c>
      <c r="K460" s="8" t="n">
        <v>350</v>
      </c>
      <c r="L460" s="8" t="n"/>
      <c r="M460" s="14">
        <f>IF($A460="","",$J460*$K460)</f>
        <v/>
      </c>
      <c r="N460" s="14">
        <f>IF($A460="","",$M460-$L460)</f>
        <v/>
      </c>
      <c r="O460" s="4" t="inlineStr">
        <is>
          <t>Cash</t>
        </is>
      </c>
      <c r="P460" s="15">
        <f>IF($A460="","",DATE(YEAR($A460),MONTH($A460),1))</f>
        <v/>
      </c>
      <c r="Q460" s="16">
        <f>IF($H460="","",$J460*IFERROR(INDEX('Settings'!$L$10:$L$39,MATCH($H460,'Settings'!$I$10:$I$39,0)),0))</f>
        <v/>
      </c>
      <c r="R460" s="17">
        <f>IF($A460="","",$A460-WEEKDAY($A460,2)+1)</f>
        <v/>
      </c>
    </row>
    <row r="461">
      <c r="A461" s="5" t="n">
        <v>46243</v>
      </c>
      <c r="B461" s="4" t="inlineStr">
        <is>
          <t>Main branch</t>
        </is>
      </c>
      <c r="C461" s="4" t="inlineStr">
        <is>
          <t>Main 1</t>
        </is>
      </c>
      <c r="D461" s="4" t="inlineStr">
        <is>
          <t>Dr Noura Al Subaie</t>
        </is>
      </c>
      <c r="E461" s="4" t="inlineStr">
        <is>
          <t>P-2422</t>
        </is>
      </c>
      <c r="F461" s="4" t="inlineStr">
        <is>
          <t>Returning</t>
        </is>
      </c>
      <c r="G461" s="4" t="inlineStr">
        <is>
          <t>Walk-in</t>
        </is>
      </c>
      <c r="H461" s="4" t="inlineStr">
        <is>
          <t>Laser session, body</t>
        </is>
      </c>
      <c r="I461" s="9">
        <f>IF($H461="","",IFERROR(INDEX('Settings'!$J$10:$J$39,MATCH($H461,'Settings'!$I$10:$I$39,0)),""))</f>
        <v/>
      </c>
      <c r="J461" s="6" t="n">
        <v>1</v>
      </c>
      <c r="K461" s="8" t="n">
        <v>1200</v>
      </c>
      <c r="L461" s="8" t="n"/>
      <c r="M461" s="14">
        <f>IF($A461="","",$J461*$K461)</f>
        <v/>
      </c>
      <c r="N461" s="14">
        <f>IF($A461="","",$M461-$L461)</f>
        <v/>
      </c>
      <c r="O461" s="4" t="inlineStr">
        <is>
          <t>Card</t>
        </is>
      </c>
      <c r="P461" s="15">
        <f>IF($A461="","",DATE(YEAR($A461),MONTH($A461),1))</f>
        <v/>
      </c>
      <c r="Q461" s="16">
        <f>IF($H461="","",$J461*IFERROR(INDEX('Settings'!$L$10:$L$39,MATCH($H461,'Settings'!$I$10:$I$39,0)),0))</f>
        <v/>
      </c>
      <c r="R461" s="17">
        <f>IF($A461="","",$A461-WEEKDAY($A461,2)+1)</f>
        <v/>
      </c>
    </row>
    <row r="462">
      <c r="A462" s="5" t="n">
        <v>46243</v>
      </c>
      <c r="B462" s="4" t="inlineStr">
        <is>
          <t>Main branch</t>
        </is>
      </c>
      <c r="C462" s="4" t="inlineStr">
        <is>
          <t>Main 1</t>
        </is>
      </c>
      <c r="D462" s="4" t="inlineStr">
        <is>
          <t>Dr Noura Al Subaie</t>
        </is>
      </c>
      <c r="E462" s="4" t="inlineStr">
        <is>
          <t>P-3331</t>
        </is>
      </c>
      <c r="F462" s="4" t="inlineStr">
        <is>
          <t>Returning</t>
        </is>
      </c>
      <c r="G462" s="4" t="inlineStr">
        <is>
          <t>Walk-in</t>
        </is>
      </c>
      <c r="H462" s="4" t="inlineStr">
        <is>
          <t>Vitamin C serum</t>
        </is>
      </c>
      <c r="I462" s="9">
        <f>IF($H462="","",IFERROR(INDEX('Settings'!$J$10:$J$39,MATCH($H462,'Settings'!$I$10:$I$39,0)),""))</f>
        <v/>
      </c>
      <c r="J462" s="6" t="n">
        <v>1</v>
      </c>
      <c r="K462" s="8" t="n">
        <v>220</v>
      </c>
      <c r="L462" s="8" t="n"/>
      <c r="M462" s="14">
        <f>IF($A462="","",$J462*$K462)</f>
        <v/>
      </c>
      <c r="N462" s="14">
        <f>IF($A462="","",$M462-$L462)</f>
        <v/>
      </c>
      <c r="O462" s="4" t="inlineStr">
        <is>
          <t>Cash</t>
        </is>
      </c>
      <c r="P462" s="15">
        <f>IF($A462="","",DATE(YEAR($A462),MONTH($A462),1))</f>
        <v/>
      </c>
      <c r="Q462" s="16">
        <f>IF($H462="","",$J462*IFERROR(INDEX('Settings'!$L$10:$L$39,MATCH($H462,'Settings'!$I$10:$I$39,0)),0))</f>
        <v/>
      </c>
      <c r="R462" s="17">
        <f>IF($A462="","",$A462-WEEKDAY($A462,2)+1)</f>
        <v/>
      </c>
    </row>
    <row r="463">
      <c r="A463" s="5" t="n">
        <v>46243</v>
      </c>
      <c r="B463" s="4" t="inlineStr">
        <is>
          <t>Main branch</t>
        </is>
      </c>
      <c r="C463" s="4" t="inlineStr">
        <is>
          <t>Main 2</t>
        </is>
      </c>
      <c r="D463" s="4" t="inlineStr">
        <is>
          <t>Dr Sara Al Harbi</t>
        </is>
      </c>
      <c r="E463" s="4" t="inlineStr">
        <is>
          <t>P-2343</t>
        </is>
      </c>
      <c r="F463" s="4" t="inlineStr">
        <is>
          <t>Returning</t>
        </is>
      </c>
      <c r="G463" s="4" t="inlineStr">
        <is>
          <t>Referral</t>
        </is>
      </c>
      <c r="H463" s="4" t="inlineStr">
        <is>
          <t>Follow-up visit</t>
        </is>
      </c>
      <c r="I463" s="9">
        <f>IF($H463="","",IFERROR(INDEX('Settings'!$J$10:$J$39,MATCH($H463,'Settings'!$I$10:$I$39,0)),""))</f>
        <v/>
      </c>
      <c r="J463" s="6" t="n">
        <v>1</v>
      </c>
      <c r="K463" s="8" t="n">
        <v>150</v>
      </c>
      <c r="L463" s="8" t="n"/>
      <c r="M463" s="14">
        <f>IF($A463="","",$J463*$K463)</f>
        <v/>
      </c>
      <c r="N463" s="14">
        <f>IF($A463="","",$M463-$L463)</f>
        <v/>
      </c>
      <c r="O463" s="4" t="inlineStr">
        <is>
          <t>Card</t>
        </is>
      </c>
      <c r="P463" s="15">
        <f>IF($A463="","",DATE(YEAR($A463),MONTH($A463),1))</f>
        <v/>
      </c>
      <c r="Q463" s="16">
        <f>IF($H463="","",$J463*IFERROR(INDEX('Settings'!$L$10:$L$39,MATCH($H463,'Settings'!$I$10:$I$39,0)),0))</f>
        <v/>
      </c>
      <c r="R463" s="17">
        <f>IF($A463="","",$A463-WEEKDAY($A463,2)+1)</f>
        <v/>
      </c>
    </row>
    <row r="464">
      <c r="A464" s="5" t="n">
        <v>46243</v>
      </c>
      <c r="B464" s="4" t="inlineStr">
        <is>
          <t>Main branch</t>
        </is>
      </c>
      <c r="C464" s="4" t="inlineStr">
        <is>
          <t>Main 3</t>
        </is>
      </c>
      <c r="D464" s="4" t="inlineStr">
        <is>
          <t>Dr Sara Al Harbi</t>
        </is>
      </c>
      <c r="E464" s="4" t="inlineStr">
        <is>
          <t>P-3089</t>
        </is>
      </c>
      <c r="F464" s="4" t="inlineStr">
        <is>
          <t>Returning</t>
        </is>
      </c>
      <c r="G464" s="4" t="inlineStr">
        <is>
          <t>Walk-in</t>
        </is>
      </c>
      <c r="H464" s="4" t="inlineStr">
        <is>
          <t>Laser session, face</t>
        </is>
      </c>
      <c r="I464" s="9">
        <f>IF($H464="","",IFERROR(INDEX('Settings'!$J$10:$J$39,MATCH($H464,'Settings'!$I$10:$I$39,0)),""))</f>
        <v/>
      </c>
      <c r="J464" s="6" t="n">
        <v>1</v>
      </c>
      <c r="K464" s="8" t="n">
        <v>600</v>
      </c>
      <c r="L464" s="8" t="n"/>
      <c r="M464" s="14">
        <f>IF($A464="","",$J464*$K464)</f>
        <v/>
      </c>
      <c r="N464" s="14">
        <f>IF($A464="","",$M464-$L464)</f>
        <v/>
      </c>
      <c r="O464" s="4" t="inlineStr">
        <is>
          <t>Cash</t>
        </is>
      </c>
      <c r="P464" s="15">
        <f>IF($A464="","",DATE(YEAR($A464),MONTH($A464),1))</f>
        <v/>
      </c>
      <c r="Q464" s="16">
        <f>IF($H464="","",$J464*IFERROR(INDEX('Settings'!$L$10:$L$39,MATCH($H464,'Settings'!$I$10:$I$39,0)),0))</f>
        <v/>
      </c>
      <c r="R464" s="17">
        <f>IF($A464="","",$A464-WEEKDAY($A464,2)+1)</f>
        <v/>
      </c>
    </row>
    <row r="465">
      <c r="A465" s="5" t="n">
        <v>46243</v>
      </c>
      <c r="B465" s="4" t="inlineStr">
        <is>
          <t>Main branch</t>
        </is>
      </c>
      <c r="C465" s="4" t="inlineStr">
        <is>
          <t>Main 3</t>
        </is>
      </c>
      <c r="D465" s="4" t="inlineStr">
        <is>
          <t>Dr Ahmed Mansour</t>
        </is>
      </c>
      <c r="E465" s="4" t="inlineStr">
        <is>
          <t>P-2876</t>
        </is>
      </c>
      <c r="F465" s="4" t="inlineStr">
        <is>
          <t>Returning</t>
        </is>
      </c>
      <c r="G465" s="4" t="inlineStr">
        <is>
          <t>WhatsApp</t>
        </is>
      </c>
      <c r="H465" s="4" t="inlineStr">
        <is>
          <t>Sunscreen cream</t>
        </is>
      </c>
      <c r="I465" s="9">
        <f>IF($H465="","",IFERROR(INDEX('Settings'!$J$10:$J$39,MATCH($H465,'Settings'!$I$10:$I$39,0)),""))</f>
        <v/>
      </c>
      <c r="J465" s="6" t="n">
        <v>1</v>
      </c>
      <c r="K465" s="8" t="n">
        <v>120</v>
      </c>
      <c r="L465" s="8" t="n"/>
      <c r="M465" s="14">
        <f>IF($A465="","",$J465*$K465)</f>
        <v/>
      </c>
      <c r="N465" s="14">
        <f>IF($A465="","",$M465-$L465)</f>
        <v/>
      </c>
      <c r="O465" s="4" t="inlineStr">
        <is>
          <t>Cash</t>
        </is>
      </c>
      <c r="P465" s="15">
        <f>IF($A465="","",DATE(YEAR($A465),MONTH($A465),1))</f>
        <v/>
      </c>
      <c r="Q465" s="16">
        <f>IF($H465="","",$J465*IFERROR(INDEX('Settings'!$L$10:$L$39,MATCH($H465,'Settings'!$I$10:$I$39,0)),0))</f>
        <v/>
      </c>
      <c r="R465" s="17">
        <f>IF($A465="","",$A465-WEEKDAY($A465,2)+1)</f>
        <v/>
      </c>
    </row>
    <row r="466">
      <c r="A466" s="5" t="n">
        <v>46243</v>
      </c>
      <c r="B466" s="4" t="inlineStr">
        <is>
          <t>Main branch</t>
        </is>
      </c>
      <c r="C466" s="4" t="inlineStr">
        <is>
          <t>Main 4</t>
        </is>
      </c>
      <c r="D466" s="4" t="inlineStr">
        <is>
          <t>Dr Sara Al Harbi</t>
        </is>
      </c>
      <c r="E466" s="4" t="inlineStr">
        <is>
          <t>P-2995</t>
        </is>
      </c>
      <c r="F466" s="4" t="inlineStr">
        <is>
          <t>Returning</t>
        </is>
      </c>
      <c r="G466" s="4" t="inlineStr">
        <is>
          <t>Google</t>
        </is>
      </c>
      <c r="H466" s="4" t="inlineStr">
        <is>
          <t>Filler injection</t>
        </is>
      </c>
      <c r="I466" s="9">
        <f>IF($H466="","",IFERROR(INDEX('Settings'!$J$10:$J$39,MATCH($H466,'Settings'!$I$10:$I$39,0)),""))</f>
        <v/>
      </c>
      <c r="J466" s="6" t="n">
        <v>1</v>
      </c>
      <c r="K466" s="8" t="n">
        <v>1800</v>
      </c>
      <c r="L466" s="8" t="n"/>
      <c r="M466" s="14">
        <f>IF($A466="","",$J466*$K466)</f>
        <v/>
      </c>
      <c r="N466" s="14">
        <f>IF($A466="","",$M466-$L466)</f>
        <v/>
      </c>
      <c r="O466" s="4" t="inlineStr">
        <is>
          <t>Card</t>
        </is>
      </c>
      <c r="P466" s="15">
        <f>IF($A466="","",DATE(YEAR($A466),MONTH($A466),1))</f>
        <v/>
      </c>
      <c r="Q466" s="16">
        <f>IF($H466="","",$J466*IFERROR(INDEX('Settings'!$L$10:$L$39,MATCH($H466,'Settings'!$I$10:$I$39,0)),0))</f>
        <v/>
      </c>
      <c r="R466" s="17">
        <f>IF($A466="","",$A466-WEEKDAY($A466,2)+1)</f>
        <v/>
      </c>
    </row>
    <row r="467">
      <c r="A467" s="5" t="n">
        <v>46243</v>
      </c>
      <c r="B467" s="4" t="inlineStr">
        <is>
          <t>Main branch</t>
        </is>
      </c>
      <c r="C467" s="4" t="inlineStr">
        <is>
          <t>Main 4</t>
        </is>
      </c>
      <c r="D467" s="4" t="inlineStr">
        <is>
          <t>Dr Sara Al Harbi</t>
        </is>
      </c>
      <c r="E467" s="4" t="inlineStr">
        <is>
          <t>P-3353</t>
        </is>
      </c>
      <c r="F467" s="4" t="inlineStr">
        <is>
          <t>New</t>
        </is>
      </c>
      <c r="G467" s="4" t="inlineStr">
        <is>
          <t>Walk-in</t>
        </is>
      </c>
      <c r="H467" s="4" t="inlineStr">
        <is>
          <t>Filler injection</t>
        </is>
      </c>
      <c r="I467" s="9">
        <f>IF($H467="","",IFERROR(INDEX('Settings'!$J$10:$J$39,MATCH($H467,'Settings'!$I$10:$I$39,0)),""))</f>
        <v/>
      </c>
      <c r="J467" s="6" t="n">
        <v>1</v>
      </c>
      <c r="K467" s="8" t="n">
        <v>1800</v>
      </c>
      <c r="L467" s="8" t="n"/>
      <c r="M467" s="14">
        <f>IF($A467="","",$J467*$K467)</f>
        <v/>
      </c>
      <c r="N467" s="14">
        <f>IF($A467="","",$M467-$L467)</f>
        <v/>
      </c>
      <c r="O467" s="4" t="inlineStr">
        <is>
          <t>Cash</t>
        </is>
      </c>
      <c r="P467" s="15">
        <f>IF($A467="","",DATE(YEAR($A467),MONTH($A467),1))</f>
        <v/>
      </c>
      <c r="Q467" s="16">
        <f>IF($H467="","",$J467*IFERROR(INDEX('Settings'!$L$10:$L$39,MATCH($H467,'Settings'!$I$10:$I$39,0)),0))</f>
        <v/>
      </c>
      <c r="R467" s="17">
        <f>IF($A467="","",$A467-WEEKDAY($A467,2)+1)</f>
        <v/>
      </c>
    </row>
    <row r="468">
      <c r="A468" s="5" t="n">
        <v>46243</v>
      </c>
      <c r="B468" s="4" t="inlineStr">
        <is>
          <t>North branch</t>
        </is>
      </c>
      <c r="C468" s="4" t="inlineStr">
        <is>
          <t>North 1</t>
        </is>
      </c>
      <c r="D468" s="4" t="inlineStr">
        <is>
          <t>Dr Mohamed Adel</t>
        </is>
      </c>
      <c r="E468" s="4" t="inlineStr">
        <is>
          <t>P-3400</t>
        </is>
      </c>
      <c r="F468" s="4" t="inlineStr">
        <is>
          <t>Returning</t>
        </is>
      </c>
      <c r="G468" s="4" t="inlineStr">
        <is>
          <t>Google</t>
        </is>
      </c>
      <c r="H468" s="4" t="inlineStr">
        <is>
          <t>Sunscreen cream</t>
        </is>
      </c>
      <c r="I468" s="9">
        <f>IF($H468="","",IFERROR(INDEX('Settings'!$J$10:$J$39,MATCH($H468,'Settings'!$I$10:$I$39,0)),""))</f>
        <v/>
      </c>
      <c r="J468" s="6" t="n">
        <v>1</v>
      </c>
      <c r="K468" s="8" t="n">
        <v>120</v>
      </c>
      <c r="L468" s="8" t="n"/>
      <c r="M468" s="14">
        <f>IF($A468="","",$J468*$K468)</f>
        <v/>
      </c>
      <c r="N468" s="14">
        <f>IF($A468="","",$M468-$L468)</f>
        <v/>
      </c>
      <c r="O468" s="4" t="inlineStr">
        <is>
          <t>Cash</t>
        </is>
      </c>
      <c r="P468" s="15">
        <f>IF($A468="","",DATE(YEAR($A468),MONTH($A468),1))</f>
        <v/>
      </c>
      <c r="Q468" s="16">
        <f>IF($H468="","",$J468*IFERROR(INDEX('Settings'!$L$10:$L$39,MATCH($H468,'Settings'!$I$10:$I$39,0)),0))</f>
        <v/>
      </c>
      <c r="R468" s="17">
        <f>IF($A468="","",$A468-WEEKDAY($A468,2)+1)</f>
        <v/>
      </c>
    </row>
    <row r="469">
      <c r="A469" s="5" t="n">
        <v>46243</v>
      </c>
      <c r="B469" s="4" t="inlineStr">
        <is>
          <t>North branch</t>
        </is>
      </c>
      <c r="C469" s="4" t="inlineStr">
        <is>
          <t>North 1</t>
        </is>
      </c>
      <c r="D469" s="4" t="inlineStr">
        <is>
          <t>Dr Khaled Youssef</t>
        </is>
      </c>
      <c r="E469" s="4" t="inlineStr">
        <is>
          <t>P-2405</t>
        </is>
      </c>
      <c r="F469" s="4" t="inlineStr">
        <is>
          <t>Returning</t>
        </is>
      </c>
      <c r="G469" s="4" t="inlineStr">
        <is>
          <t>Walk-in</t>
        </is>
      </c>
      <c r="H469" s="4" t="inlineStr">
        <is>
          <t>Filler injection</t>
        </is>
      </c>
      <c r="I469" s="9">
        <f>IF($H469="","",IFERROR(INDEX('Settings'!$J$10:$J$39,MATCH($H469,'Settings'!$I$10:$I$39,0)),""))</f>
        <v/>
      </c>
      <c r="J469" s="6" t="n">
        <v>1</v>
      </c>
      <c r="K469" s="8" t="n">
        <v>1800</v>
      </c>
      <c r="L469" s="8" t="n"/>
      <c r="M469" s="14">
        <f>IF($A469="","",$J469*$K469)</f>
        <v/>
      </c>
      <c r="N469" s="14">
        <f>IF($A469="","",$M469-$L469)</f>
        <v/>
      </c>
      <c r="O469" s="4" t="inlineStr">
        <is>
          <t>Transfer</t>
        </is>
      </c>
      <c r="P469" s="15">
        <f>IF($A469="","",DATE(YEAR($A469),MONTH($A469),1))</f>
        <v/>
      </c>
      <c r="Q469" s="16">
        <f>IF($H469="","",$J469*IFERROR(INDEX('Settings'!$L$10:$L$39,MATCH($H469,'Settings'!$I$10:$I$39,0)),0))</f>
        <v/>
      </c>
      <c r="R469" s="17">
        <f>IF($A469="","",$A469-WEEKDAY($A469,2)+1)</f>
        <v/>
      </c>
    </row>
    <row r="470">
      <c r="A470" s="5" t="n">
        <v>46243</v>
      </c>
      <c r="B470" s="4" t="inlineStr">
        <is>
          <t>North branch</t>
        </is>
      </c>
      <c r="C470" s="4" t="inlineStr">
        <is>
          <t>North 1</t>
        </is>
      </c>
      <c r="D470" s="4" t="inlineStr">
        <is>
          <t>Dr Layla Al Qahtani</t>
        </is>
      </c>
      <c r="E470" s="4" t="inlineStr">
        <is>
          <t>P-2612</t>
        </is>
      </c>
      <c r="F470" s="4" t="inlineStr">
        <is>
          <t>New</t>
        </is>
      </c>
      <c r="G470" s="4" t="inlineStr">
        <is>
          <t>Referral</t>
        </is>
      </c>
      <c r="H470" s="4" t="inlineStr">
        <is>
          <t>Specialist consultation</t>
        </is>
      </c>
      <c r="I470" s="9">
        <f>IF($H470="","",IFERROR(INDEX('Settings'!$J$10:$J$39,MATCH($H470,'Settings'!$I$10:$I$39,0)),""))</f>
        <v/>
      </c>
      <c r="J470" s="6" t="n">
        <v>1</v>
      </c>
      <c r="K470" s="8" t="n">
        <v>350</v>
      </c>
      <c r="L470" s="8" t="n"/>
      <c r="M470" s="14">
        <f>IF($A470="","",$J470*$K470)</f>
        <v/>
      </c>
      <c r="N470" s="14">
        <f>IF($A470="","",$M470-$L470)</f>
        <v/>
      </c>
      <c r="O470" s="4" t="inlineStr">
        <is>
          <t>Cash</t>
        </is>
      </c>
      <c r="P470" s="15">
        <f>IF($A470="","",DATE(YEAR($A470),MONTH($A470),1))</f>
        <v/>
      </c>
      <c r="Q470" s="16">
        <f>IF($H470="","",$J470*IFERROR(INDEX('Settings'!$L$10:$L$39,MATCH($H470,'Settings'!$I$10:$I$39,0)),0))</f>
        <v/>
      </c>
      <c r="R470" s="17">
        <f>IF($A470="","",$A470-WEEKDAY($A470,2)+1)</f>
        <v/>
      </c>
    </row>
    <row r="471">
      <c r="A471" s="5" t="n">
        <v>46243</v>
      </c>
      <c r="B471" s="4" t="inlineStr">
        <is>
          <t>North branch</t>
        </is>
      </c>
      <c r="C471" s="4" t="inlineStr">
        <is>
          <t>North 1</t>
        </is>
      </c>
      <c r="D471" s="4" t="inlineStr">
        <is>
          <t>Dr Layla Al Qahtani</t>
        </is>
      </c>
      <c r="E471" s="4" t="inlineStr">
        <is>
          <t>P-2105</t>
        </is>
      </c>
      <c r="F471" s="4" t="inlineStr">
        <is>
          <t>Returning</t>
        </is>
      </c>
      <c r="G471" s="4" t="inlineStr">
        <is>
          <t>Google</t>
        </is>
      </c>
      <c r="H471" s="4" t="inlineStr">
        <is>
          <t>Specialist consultation</t>
        </is>
      </c>
      <c r="I471" s="9">
        <f>IF($H471="","",IFERROR(INDEX('Settings'!$J$10:$J$39,MATCH($H471,'Settings'!$I$10:$I$39,0)),""))</f>
        <v/>
      </c>
      <c r="J471" s="6" t="n">
        <v>1</v>
      </c>
      <c r="K471" s="8" t="n">
        <v>350</v>
      </c>
      <c r="L471" s="8" t="n"/>
      <c r="M471" s="14">
        <f>IF($A471="","",$J471*$K471)</f>
        <v/>
      </c>
      <c r="N471" s="14">
        <f>IF($A471="","",$M471-$L471)</f>
        <v/>
      </c>
      <c r="O471" s="4" t="inlineStr">
        <is>
          <t>Transfer</t>
        </is>
      </c>
      <c r="P471" s="15">
        <f>IF($A471="","",DATE(YEAR($A471),MONTH($A471),1))</f>
        <v/>
      </c>
      <c r="Q471" s="16">
        <f>IF($H471="","",$J471*IFERROR(INDEX('Settings'!$L$10:$L$39,MATCH($H471,'Settings'!$I$10:$I$39,0)),0))</f>
        <v/>
      </c>
      <c r="R471" s="17">
        <f>IF($A471="","",$A471-WEEKDAY($A471,2)+1)</f>
        <v/>
      </c>
    </row>
    <row r="472">
      <c r="A472" s="5" t="n">
        <v>46243</v>
      </c>
      <c r="B472" s="4" t="inlineStr">
        <is>
          <t>North branch</t>
        </is>
      </c>
      <c r="C472" s="4" t="inlineStr">
        <is>
          <t>North 1</t>
        </is>
      </c>
      <c r="D472" s="4" t="inlineStr">
        <is>
          <t>Dr Layla Al Qahtani</t>
        </is>
      </c>
      <c r="E472" s="4" t="inlineStr">
        <is>
          <t>P-2730</t>
        </is>
      </c>
      <c r="F472" s="4" t="inlineStr">
        <is>
          <t>Returning</t>
        </is>
      </c>
      <c r="G472" s="4" t="inlineStr">
        <is>
          <t>Instagram</t>
        </is>
      </c>
      <c r="H472" s="4" t="inlineStr">
        <is>
          <t>Filler injection</t>
        </is>
      </c>
      <c r="I472" s="9">
        <f>IF($H472="","",IFERROR(INDEX('Settings'!$J$10:$J$39,MATCH($H472,'Settings'!$I$10:$I$39,0)),""))</f>
        <v/>
      </c>
      <c r="J472" s="6" t="n">
        <v>1</v>
      </c>
      <c r="K472" s="8" t="n">
        <v>1800</v>
      </c>
      <c r="L472" s="8" t="n"/>
      <c r="M472" s="14">
        <f>IF($A472="","",$J472*$K472)</f>
        <v/>
      </c>
      <c r="N472" s="14">
        <f>IF($A472="","",$M472-$L472)</f>
        <v/>
      </c>
      <c r="O472" s="4" t="inlineStr">
        <is>
          <t>Card</t>
        </is>
      </c>
      <c r="P472" s="15">
        <f>IF($A472="","",DATE(YEAR($A472),MONTH($A472),1))</f>
        <v/>
      </c>
      <c r="Q472" s="16">
        <f>IF($H472="","",$J472*IFERROR(INDEX('Settings'!$L$10:$L$39,MATCH($H472,'Settings'!$I$10:$I$39,0)),0))</f>
        <v/>
      </c>
      <c r="R472" s="17">
        <f>IF($A472="","",$A472-WEEKDAY($A472,2)+1)</f>
        <v/>
      </c>
    </row>
    <row r="473">
      <c r="A473" s="5" t="n">
        <v>46243</v>
      </c>
      <c r="B473" s="4" t="inlineStr">
        <is>
          <t>North branch</t>
        </is>
      </c>
      <c r="C473" s="4" t="inlineStr">
        <is>
          <t>North 2</t>
        </is>
      </c>
      <c r="D473" s="4" t="inlineStr">
        <is>
          <t>Dr Mohamed Adel</t>
        </is>
      </c>
      <c r="E473" s="4" t="inlineStr">
        <is>
          <t>P-2316</t>
        </is>
      </c>
      <c r="F473" s="4" t="inlineStr">
        <is>
          <t>New</t>
        </is>
      </c>
      <c r="G473" s="4" t="inlineStr">
        <is>
          <t>Instagram</t>
        </is>
      </c>
      <c r="H473" s="4" t="inlineStr">
        <is>
          <t>Botulinum toxin</t>
        </is>
      </c>
      <c r="I473" s="9">
        <f>IF($H473="","",IFERROR(INDEX('Settings'!$J$10:$J$39,MATCH($H473,'Settings'!$I$10:$I$39,0)),""))</f>
        <v/>
      </c>
      <c r="J473" s="6" t="n">
        <v>1</v>
      </c>
      <c r="K473" s="8" t="n">
        <v>1500</v>
      </c>
      <c r="L473" s="8" t="n"/>
      <c r="M473" s="14">
        <f>IF($A473="","",$J473*$K473)</f>
        <v/>
      </c>
      <c r="N473" s="14">
        <f>IF($A473="","",$M473-$L473)</f>
        <v/>
      </c>
      <c r="O473" s="4" t="inlineStr">
        <is>
          <t>Insurance</t>
        </is>
      </c>
      <c r="P473" s="15">
        <f>IF($A473="","",DATE(YEAR($A473),MONTH($A473),1))</f>
        <v/>
      </c>
      <c r="Q473" s="16">
        <f>IF($H473="","",$J473*IFERROR(INDEX('Settings'!$L$10:$L$39,MATCH($H473,'Settings'!$I$10:$I$39,0)),0))</f>
        <v/>
      </c>
      <c r="R473" s="17">
        <f>IF($A473="","",$A473-WEEKDAY($A473,2)+1)</f>
        <v/>
      </c>
    </row>
    <row r="474">
      <c r="A474" s="5" t="n">
        <v>46243</v>
      </c>
      <c r="B474" s="4" t="inlineStr">
        <is>
          <t>North branch</t>
        </is>
      </c>
      <c r="C474" s="4" t="inlineStr">
        <is>
          <t>North 2</t>
        </is>
      </c>
      <c r="D474" s="4" t="inlineStr">
        <is>
          <t>Dr Mohamed Adel</t>
        </is>
      </c>
      <c r="E474" s="4" t="inlineStr">
        <is>
          <t>P-3473</t>
        </is>
      </c>
      <c r="F474" s="4" t="inlineStr">
        <is>
          <t>Returning</t>
        </is>
      </c>
      <c r="G474" s="4" t="inlineStr">
        <is>
          <t>WhatsApp</t>
        </is>
      </c>
      <c r="H474" s="4" t="inlineStr">
        <is>
          <t>Laser session, body</t>
        </is>
      </c>
      <c r="I474" s="9">
        <f>IF($H474="","",IFERROR(INDEX('Settings'!$J$10:$J$39,MATCH($H474,'Settings'!$I$10:$I$39,0)),""))</f>
        <v/>
      </c>
      <c r="J474" s="6" t="n">
        <v>1</v>
      </c>
      <c r="K474" s="8" t="n">
        <v>1200</v>
      </c>
      <c r="L474" s="8" t="n"/>
      <c r="M474" s="14">
        <f>IF($A474="","",$J474*$K474)</f>
        <v/>
      </c>
      <c r="N474" s="14">
        <f>IF($A474="","",$M474-$L474)</f>
        <v/>
      </c>
      <c r="O474" s="4" t="inlineStr">
        <is>
          <t>Insurance</t>
        </is>
      </c>
      <c r="P474" s="15">
        <f>IF($A474="","",DATE(YEAR($A474),MONTH($A474),1))</f>
        <v/>
      </c>
      <c r="Q474" s="16">
        <f>IF($H474="","",$J474*IFERROR(INDEX('Settings'!$L$10:$L$39,MATCH($H474,'Settings'!$I$10:$I$39,0)),0))</f>
        <v/>
      </c>
      <c r="R474" s="17">
        <f>IF($A474="","",$A474-WEEKDAY($A474,2)+1)</f>
        <v/>
      </c>
    </row>
    <row r="475">
      <c r="A475" s="5" t="n">
        <v>46243</v>
      </c>
      <c r="B475" s="4" t="inlineStr">
        <is>
          <t>North branch</t>
        </is>
      </c>
      <c r="C475" s="4" t="inlineStr">
        <is>
          <t>North 2</t>
        </is>
      </c>
      <c r="D475" s="4" t="inlineStr">
        <is>
          <t>Dr Mohamed Adel</t>
        </is>
      </c>
      <c r="E475" s="4" t="inlineStr">
        <is>
          <t>P-3234</t>
        </is>
      </c>
      <c r="F475" s="4" t="inlineStr">
        <is>
          <t>Returning</t>
        </is>
      </c>
      <c r="G475" s="4" t="inlineStr">
        <is>
          <t>Google</t>
        </is>
      </c>
      <c r="H475" s="4" t="inlineStr">
        <is>
          <t>Specialist consultation</t>
        </is>
      </c>
      <c r="I475" s="9">
        <f>IF($H475="","",IFERROR(INDEX('Settings'!$J$10:$J$39,MATCH($H475,'Settings'!$I$10:$I$39,0)),""))</f>
        <v/>
      </c>
      <c r="J475" s="6" t="n">
        <v>1</v>
      </c>
      <c r="K475" s="8" t="n">
        <v>350</v>
      </c>
      <c r="L475" s="8" t="n"/>
      <c r="M475" s="14">
        <f>IF($A475="","",$J475*$K475)</f>
        <v/>
      </c>
      <c r="N475" s="14">
        <f>IF($A475="","",$M475-$L475)</f>
        <v/>
      </c>
      <c r="O475" s="4" t="inlineStr">
        <is>
          <t>Card</t>
        </is>
      </c>
      <c r="P475" s="15">
        <f>IF($A475="","",DATE(YEAR($A475),MONTH($A475),1))</f>
        <v/>
      </c>
      <c r="Q475" s="16">
        <f>IF($H475="","",$J475*IFERROR(INDEX('Settings'!$L$10:$L$39,MATCH($H475,'Settings'!$I$10:$I$39,0)),0))</f>
        <v/>
      </c>
      <c r="R475" s="17">
        <f>IF($A475="","",$A475-WEEKDAY($A475,2)+1)</f>
        <v/>
      </c>
    </row>
    <row r="476">
      <c r="A476" s="5" t="n">
        <v>46243</v>
      </c>
      <c r="B476" s="4" t="inlineStr">
        <is>
          <t>North branch</t>
        </is>
      </c>
      <c r="C476" s="4" t="inlineStr">
        <is>
          <t>North 2</t>
        </is>
      </c>
      <c r="D476" s="4" t="inlineStr">
        <is>
          <t>Dr Khaled Youssef</t>
        </is>
      </c>
      <c r="E476" s="4" t="inlineStr">
        <is>
          <t>P-3052</t>
        </is>
      </c>
      <c r="F476" s="4" t="inlineStr">
        <is>
          <t>New</t>
        </is>
      </c>
      <c r="G476" s="4" t="inlineStr">
        <is>
          <t>Instagram</t>
        </is>
      </c>
      <c r="H476" s="4" t="inlineStr">
        <is>
          <t>Follow-up visit</t>
        </is>
      </c>
      <c r="I476" s="9">
        <f>IF($H476="","",IFERROR(INDEX('Settings'!$J$10:$J$39,MATCH($H476,'Settings'!$I$10:$I$39,0)),""))</f>
        <v/>
      </c>
      <c r="J476" s="6" t="n">
        <v>1</v>
      </c>
      <c r="K476" s="8" t="n">
        <v>150</v>
      </c>
      <c r="L476" s="8" t="n"/>
      <c r="M476" s="14">
        <f>IF($A476="","",$J476*$K476)</f>
        <v/>
      </c>
      <c r="N476" s="14">
        <f>IF($A476="","",$M476-$L476)</f>
        <v/>
      </c>
      <c r="O476" s="4" t="inlineStr">
        <is>
          <t>Card</t>
        </is>
      </c>
      <c r="P476" s="15">
        <f>IF($A476="","",DATE(YEAR($A476),MONTH($A476),1))</f>
        <v/>
      </c>
      <c r="Q476" s="16">
        <f>IF($H476="","",$J476*IFERROR(INDEX('Settings'!$L$10:$L$39,MATCH($H476,'Settings'!$I$10:$I$39,0)),0))</f>
        <v/>
      </c>
      <c r="R476" s="17">
        <f>IF($A476="","",$A476-WEEKDAY($A476,2)+1)</f>
        <v/>
      </c>
    </row>
    <row r="477">
      <c r="A477" s="5" t="n">
        <v>46244</v>
      </c>
      <c r="B477" s="4" t="inlineStr">
        <is>
          <t>Main branch</t>
        </is>
      </c>
      <c r="C477" s="4" t="inlineStr">
        <is>
          <t>Main 1</t>
        </is>
      </c>
      <c r="D477" s="4" t="inlineStr">
        <is>
          <t>Dr Ahmed Mansour</t>
        </is>
      </c>
      <c r="E477" s="4" t="inlineStr">
        <is>
          <t>P-3352</t>
        </is>
      </c>
      <c r="F477" s="4" t="inlineStr">
        <is>
          <t>New</t>
        </is>
      </c>
      <c r="G477" s="4" t="inlineStr">
        <is>
          <t>Instagram</t>
        </is>
      </c>
      <c r="H477" s="4" t="inlineStr">
        <is>
          <t>Follow-up visit</t>
        </is>
      </c>
      <c r="I477" s="9">
        <f>IF($H477="","",IFERROR(INDEX('Settings'!$J$10:$J$39,MATCH($H477,'Settings'!$I$10:$I$39,0)),""))</f>
        <v/>
      </c>
      <c r="J477" s="6" t="n">
        <v>1</v>
      </c>
      <c r="K477" s="8" t="n">
        <v>150</v>
      </c>
      <c r="L477" s="8" t="n"/>
      <c r="M477" s="14">
        <f>IF($A477="","",$J477*$K477)</f>
        <v/>
      </c>
      <c r="N477" s="14">
        <f>IF($A477="","",$M477-$L477)</f>
        <v/>
      </c>
      <c r="O477" s="4" t="inlineStr">
        <is>
          <t>Insurance</t>
        </is>
      </c>
      <c r="P477" s="15">
        <f>IF($A477="","",DATE(YEAR($A477),MONTH($A477),1))</f>
        <v/>
      </c>
      <c r="Q477" s="16">
        <f>IF($H477="","",$J477*IFERROR(INDEX('Settings'!$L$10:$L$39,MATCH($H477,'Settings'!$I$10:$I$39,0)),0))</f>
        <v/>
      </c>
      <c r="R477" s="17">
        <f>IF($A477="","",$A477-WEEKDAY($A477,2)+1)</f>
        <v/>
      </c>
    </row>
    <row r="478">
      <c r="A478" s="5" t="n">
        <v>46244</v>
      </c>
      <c r="B478" s="4" t="inlineStr">
        <is>
          <t>Main branch</t>
        </is>
      </c>
      <c r="C478" s="4" t="inlineStr">
        <is>
          <t>Main 1</t>
        </is>
      </c>
      <c r="D478" s="4" t="inlineStr">
        <is>
          <t>Dr Noura Al Subaie</t>
        </is>
      </c>
      <c r="E478" s="4" t="inlineStr">
        <is>
          <t>P-2109</t>
        </is>
      </c>
      <c r="F478" s="4" t="inlineStr">
        <is>
          <t>Returning</t>
        </is>
      </c>
      <c r="G478" s="4" t="inlineStr">
        <is>
          <t>WhatsApp</t>
        </is>
      </c>
      <c r="H478" s="4" t="inlineStr">
        <is>
          <t>Laser session, face</t>
        </is>
      </c>
      <c r="I478" s="9">
        <f>IF($H478="","",IFERROR(INDEX('Settings'!$J$10:$J$39,MATCH($H478,'Settings'!$I$10:$I$39,0)),""))</f>
        <v/>
      </c>
      <c r="J478" s="6" t="n">
        <v>1</v>
      </c>
      <c r="K478" s="8" t="n">
        <v>600</v>
      </c>
      <c r="L478" s="8" t="n"/>
      <c r="M478" s="14">
        <f>IF($A478="","",$J478*$K478)</f>
        <v/>
      </c>
      <c r="N478" s="14">
        <f>IF($A478="","",$M478-$L478)</f>
        <v/>
      </c>
      <c r="O478" s="4" t="inlineStr">
        <is>
          <t>Card</t>
        </is>
      </c>
      <c r="P478" s="15">
        <f>IF($A478="","",DATE(YEAR($A478),MONTH($A478),1))</f>
        <v/>
      </c>
      <c r="Q478" s="16">
        <f>IF($H478="","",$J478*IFERROR(INDEX('Settings'!$L$10:$L$39,MATCH($H478,'Settings'!$I$10:$I$39,0)),0))</f>
        <v/>
      </c>
      <c r="R478" s="17">
        <f>IF($A478="","",$A478-WEEKDAY($A478,2)+1)</f>
        <v/>
      </c>
    </row>
    <row r="479">
      <c r="A479" s="5" t="n">
        <v>46244</v>
      </c>
      <c r="B479" s="4" t="inlineStr">
        <is>
          <t>Main branch</t>
        </is>
      </c>
      <c r="C479" s="4" t="inlineStr">
        <is>
          <t>Main 2</t>
        </is>
      </c>
      <c r="D479" s="4" t="inlineStr">
        <is>
          <t>Dr Sara Al Harbi</t>
        </is>
      </c>
      <c r="E479" s="4" t="inlineStr">
        <is>
          <t>P-3322</t>
        </is>
      </c>
      <c r="F479" s="4" t="inlineStr">
        <is>
          <t>Returning</t>
        </is>
      </c>
      <c r="G479" s="4" t="inlineStr">
        <is>
          <t>Instagram</t>
        </is>
      </c>
      <c r="H479" s="4" t="inlineStr">
        <is>
          <t>Follow-up visit</t>
        </is>
      </c>
      <c r="I479" s="9">
        <f>IF($H479="","",IFERROR(INDEX('Settings'!$J$10:$J$39,MATCH($H479,'Settings'!$I$10:$I$39,0)),""))</f>
        <v/>
      </c>
      <c r="J479" s="6" t="n">
        <v>1</v>
      </c>
      <c r="K479" s="8" t="n">
        <v>150</v>
      </c>
      <c r="L479" s="8" t="n"/>
      <c r="M479" s="14">
        <f>IF($A479="","",$J479*$K479)</f>
        <v/>
      </c>
      <c r="N479" s="14">
        <f>IF($A479="","",$M479-$L479)</f>
        <v/>
      </c>
      <c r="O479" s="4" t="inlineStr">
        <is>
          <t>Card</t>
        </is>
      </c>
      <c r="P479" s="15">
        <f>IF($A479="","",DATE(YEAR($A479),MONTH($A479),1))</f>
        <v/>
      </c>
      <c r="Q479" s="16">
        <f>IF($H479="","",$J479*IFERROR(INDEX('Settings'!$L$10:$L$39,MATCH($H479,'Settings'!$I$10:$I$39,0)),0))</f>
        <v/>
      </c>
      <c r="R479" s="17">
        <f>IF($A479="","",$A479-WEEKDAY($A479,2)+1)</f>
        <v/>
      </c>
    </row>
    <row r="480">
      <c r="A480" s="5" t="n">
        <v>46244</v>
      </c>
      <c r="B480" s="4" t="inlineStr">
        <is>
          <t>Main branch</t>
        </is>
      </c>
      <c r="C480" s="4" t="inlineStr">
        <is>
          <t>Main 4</t>
        </is>
      </c>
      <c r="D480" s="4" t="inlineStr">
        <is>
          <t>Dr Sara Al Harbi</t>
        </is>
      </c>
      <c r="E480" s="4" t="inlineStr">
        <is>
          <t>P-2580</t>
        </is>
      </c>
      <c r="F480" s="4" t="inlineStr">
        <is>
          <t>Returning</t>
        </is>
      </c>
      <c r="G480" s="4" t="inlineStr">
        <is>
          <t>WhatsApp</t>
        </is>
      </c>
      <c r="H480" s="4" t="inlineStr">
        <is>
          <t>Sunscreen cream</t>
        </is>
      </c>
      <c r="I480" s="9">
        <f>IF($H480="","",IFERROR(INDEX('Settings'!$J$10:$J$39,MATCH($H480,'Settings'!$I$10:$I$39,0)),""))</f>
        <v/>
      </c>
      <c r="J480" s="6" t="n">
        <v>1</v>
      </c>
      <c r="K480" s="8" t="n">
        <v>120</v>
      </c>
      <c r="L480" s="8" t="n"/>
      <c r="M480" s="14">
        <f>IF($A480="","",$J480*$K480)</f>
        <v/>
      </c>
      <c r="N480" s="14">
        <f>IF($A480="","",$M480-$L480)</f>
        <v/>
      </c>
      <c r="O480" s="4" t="inlineStr">
        <is>
          <t>Cash</t>
        </is>
      </c>
      <c r="P480" s="15">
        <f>IF($A480="","",DATE(YEAR($A480),MONTH($A480),1))</f>
        <v/>
      </c>
      <c r="Q480" s="16">
        <f>IF($H480="","",$J480*IFERROR(INDEX('Settings'!$L$10:$L$39,MATCH($H480,'Settings'!$I$10:$I$39,0)),0))</f>
        <v/>
      </c>
      <c r="R480" s="17">
        <f>IF($A480="","",$A480-WEEKDAY($A480,2)+1)</f>
        <v/>
      </c>
    </row>
    <row r="481">
      <c r="A481" s="5" t="n">
        <v>46244</v>
      </c>
      <c r="B481" s="4" t="inlineStr">
        <is>
          <t>Main branch</t>
        </is>
      </c>
      <c r="C481" s="4" t="inlineStr">
        <is>
          <t>Main 4</t>
        </is>
      </c>
      <c r="D481" s="4" t="inlineStr">
        <is>
          <t>Dr Sara Al Harbi</t>
        </is>
      </c>
      <c r="E481" s="4" t="inlineStr">
        <is>
          <t>P-2240</t>
        </is>
      </c>
      <c r="F481" s="4" t="inlineStr">
        <is>
          <t>Returning</t>
        </is>
      </c>
      <c r="G481" s="4" t="inlineStr">
        <is>
          <t>Instagram</t>
        </is>
      </c>
      <c r="H481" s="4" t="inlineStr">
        <is>
          <t>Physiotherapy session</t>
        </is>
      </c>
      <c r="I481" s="9">
        <f>IF($H481="","",IFERROR(INDEX('Settings'!$J$10:$J$39,MATCH($H481,'Settings'!$I$10:$I$39,0)),""))</f>
        <v/>
      </c>
      <c r="J481" s="6" t="n">
        <v>1</v>
      </c>
      <c r="K481" s="8" t="n">
        <v>300</v>
      </c>
      <c r="L481" s="8" t="n"/>
      <c r="M481" s="14">
        <f>IF($A481="","",$J481*$K481)</f>
        <v/>
      </c>
      <c r="N481" s="14">
        <f>IF($A481="","",$M481-$L481)</f>
        <v/>
      </c>
      <c r="O481" s="4" t="inlineStr">
        <is>
          <t>Card</t>
        </is>
      </c>
      <c r="P481" s="15">
        <f>IF($A481="","",DATE(YEAR($A481),MONTH($A481),1))</f>
        <v/>
      </c>
      <c r="Q481" s="16">
        <f>IF($H481="","",$J481*IFERROR(INDEX('Settings'!$L$10:$L$39,MATCH($H481,'Settings'!$I$10:$I$39,0)),0))</f>
        <v/>
      </c>
      <c r="R481" s="17">
        <f>IF($A481="","",$A481-WEEKDAY($A481,2)+1)</f>
        <v/>
      </c>
    </row>
    <row r="482">
      <c r="A482" s="5" t="n">
        <v>46244</v>
      </c>
      <c r="B482" s="4" t="inlineStr">
        <is>
          <t>Main branch</t>
        </is>
      </c>
      <c r="C482" s="4" t="inlineStr">
        <is>
          <t>Main 4</t>
        </is>
      </c>
      <c r="D482" s="4" t="inlineStr">
        <is>
          <t>Dr Ahmed Mansour</t>
        </is>
      </c>
      <c r="E482" s="4" t="inlineStr">
        <is>
          <t>P-2614</t>
        </is>
      </c>
      <c r="F482" s="4" t="inlineStr">
        <is>
          <t>Returning</t>
        </is>
      </c>
      <c r="G482" s="4" t="inlineStr">
        <is>
          <t>Referral</t>
        </is>
      </c>
      <c r="H482" s="4" t="inlineStr">
        <is>
          <t>Skin tag removal</t>
        </is>
      </c>
      <c r="I482" s="9">
        <f>IF($H482="","",IFERROR(INDEX('Settings'!$J$10:$J$39,MATCH($H482,'Settings'!$I$10:$I$39,0)),""))</f>
        <v/>
      </c>
      <c r="J482" s="6" t="n">
        <v>1</v>
      </c>
      <c r="K482" s="8" t="n">
        <v>500</v>
      </c>
      <c r="L482" s="8" t="n">
        <v>20</v>
      </c>
      <c r="M482" s="14">
        <f>IF($A482="","",$J482*$K482)</f>
        <v/>
      </c>
      <c r="N482" s="14">
        <f>IF($A482="","",$M482-$L482)</f>
        <v/>
      </c>
      <c r="O482" s="4" t="inlineStr">
        <is>
          <t>Card</t>
        </is>
      </c>
      <c r="P482" s="15">
        <f>IF($A482="","",DATE(YEAR($A482),MONTH($A482),1))</f>
        <v/>
      </c>
      <c r="Q482" s="16">
        <f>IF($H482="","",$J482*IFERROR(INDEX('Settings'!$L$10:$L$39,MATCH($H482,'Settings'!$I$10:$I$39,0)),0))</f>
        <v/>
      </c>
      <c r="R482" s="17">
        <f>IF($A482="","",$A482-WEEKDAY($A482,2)+1)</f>
        <v/>
      </c>
    </row>
    <row r="483">
      <c r="A483" s="5" t="n">
        <v>46244</v>
      </c>
      <c r="B483" s="4" t="inlineStr">
        <is>
          <t>North branch</t>
        </is>
      </c>
      <c r="C483" s="4" t="inlineStr">
        <is>
          <t>North 1</t>
        </is>
      </c>
      <c r="D483" s="4" t="inlineStr">
        <is>
          <t>Dr Layla Al Qahtani</t>
        </is>
      </c>
      <c r="E483" s="4" t="inlineStr">
        <is>
          <t>P-3041</t>
        </is>
      </c>
      <c r="F483" s="4" t="inlineStr">
        <is>
          <t>Returning</t>
        </is>
      </c>
      <c r="G483" s="4" t="inlineStr">
        <is>
          <t>Google</t>
        </is>
      </c>
      <c r="H483" s="4" t="inlineStr">
        <is>
          <t>Physiotherapy session</t>
        </is>
      </c>
      <c r="I483" s="9">
        <f>IF($H483="","",IFERROR(INDEX('Settings'!$J$10:$J$39,MATCH($H483,'Settings'!$I$10:$I$39,0)),""))</f>
        <v/>
      </c>
      <c r="J483" s="6" t="n">
        <v>1</v>
      </c>
      <c r="K483" s="8" t="n">
        <v>300</v>
      </c>
      <c r="L483" s="8" t="n"/>
      <c r="M483" s="14">
        <f>IF($A483="","",$J483*$K483)</f>
        <v/>
      </c>
      <c r="N483" s="14">
        <f>IF($A483="","",$M483-$L483)</f>
        <v/>
      </c>
      <c r="O483" s="4" t="inlineStr">
        <is>
          <t>Cash</t>
        </is>
      </c>
      <c r="P483" s="15">
        <f>IF($A483="","",DATE(YEAR($A483),MONTH($A483),1))</f>
        <v/>
      </c>
      <c r="Q483" s="16">
        <f>IF($H483="","",$J483*IFERROR(INDEX('Settings'!$L$10:$L$39,MATCH($H483,'Settings'!$I$10:$I$39,0)),0))</f>
        <v/>
      </c>
      <c r="R483" s="17">
        <f>IF($A483="","",$A483-WEEKDAY($A483,2)+1)</f>
        <v/>
      </c>
    </row>
    <row r="484">
      <c r="A484" s="5" t="n">
        <v>46244</v>
      </c>
      <c r="B484" s="4" t="inlineStr">
        <is>
          <t>North branch</t>
        </is>
      </c>
      <c r="C484" s="4" t="inlineStr">
        <is>
          <t>North 2</t>
        </is>
      </c>
      <c r="D484" s="4" t="inlineStr">
        <is>
          <t>Dr Layla Al Qahtani</t>
        </is>
      </c>
      <c r="E484" s="4" t="inlineStr">
        <is>
          <t>P-3089</t>
        </is>
      </c>
      <c r="F484" s="4" t="inlineStr">
        <is>
          <t>Returning</t>
        </is>
      </c>
      <c r="G484" s="4" t="inlineStr">
        <is>
          <t>Instagram</t>
        </is>
      </c>
      <c r="H484" s="4" t="inlineStr">
        <is>
          <t>Sunscreen cream</t>
        </is>
      </c>
      <c r="I484" s="9">
        <f>IF($H484="","",IFERROR(INDEX('Settings'!$J$10:$J$39,MATCH($H484,'Settings'!$I$10:$I$39,0)),""))</f>
        <v/>
      </c>
      <c r="J484" s="6" t="n">
        <v>1</v>
      </c>
      <c r="K484" s="8" t="n">
        <v>120</v>
      </c>
      <c r="L484" s="8" t="n"/>
      <c r="M484" s="14">
        <f>IF($A484="","",$J484*$K484)</f>
        <v/>
      </c>
      <c r="N484" s="14">
        <f>IF($A484="","",$M484-$L484)</f>
        <v/>
      </c>
      <c r="O484" s="4" t="inlineStr">
        <is>
          <t>Insurance</t>
        </is>
      </c>
      <c r="P484" s="15">
        <f>IF($A484="","",DATE(YEAR($A484),MONTH($A484),1))</f>
        <v/>
      </c>
      <c r="Q484" s="16">
        <f>IF($H484="","",$J484*IFERROR(INDEX('Settings'!$L$10:$L$39,MATCH($H484,'Settings'!$I$10:$I$39,0)),0))</f>
        <v/>
      </c>
      <c r="R484" s="17">
        <f>IF($A484="","",$A484-WEEKDAY($A484,2)+1)</f>
        <v/>
      </c>
    </row>
    <row r="485">
      <c r="A485" s="5" t="n">
        <v>46244</v>
      </c>
      <c r="B485" s="4" t="inlineStr">
        <is>
          <t>North branch</t>
        </is>
      </c>
      <c r="C485" s="4" t="inlineStr">
        <is>
          <t>North 2</t>
        </is>
      </c>
      <c r="D485" s="4" t="inlineStr">
        <is>
          <t>Dr Mohamed Adel</t>
        </is>
      </c>
      <c r="E485" s="4" t="inlineStr">
        <is>
          <t>P-3156</t>
        </is>
      </c>
      <c r="F485" s="4" t="inlineStr">
        <is>
          <t>New</t>
        </is>
      </c>
      <c r="G485" s="4" t="inlineStr">
        <is>
          <t>Instagram</t>
        </is>
      </c>
      <c r="H485" s="4" t="inlineStr">
        <is>
          <t>Specialist consultation</t>
        </is>
      </c>
      <c r="I485" s="9">
        <f>IF($H485="","",IFERROR(INDEX('Settings'!$J$10:$J$39,MATCH($H485,'Settings'!$I$10:$I$39,0)),""))</f>
        <v/>
      </c>
      <c r="J485" s="6" t="n">
        <v>1</v>
      </c>
      <c r="K485" s="8" t="n">
        <v>350</v>
      </c>
      <c r="L485" s="8" t="n"/>
      <c r="M485" s="14">
        <f>IF($A485="","",$J485*$K485)</f>
        <v/>
      </c>
      <c r="N485" s="14">
        <f>IF($A485="","",$M485-$L485)</f>
        <v/>
      </c>
      <c r="O485" s="4" t="inlineStr">
        <is>
          <t>Card</t>
        </is>
      </c>
      <c r="P485" s="15">
        <f>IF($A485="","",DATE(YEAR($A485),MONTH($A485),1))</f>
        <v/>
      </c>
      <c r="Q485" s="16">
        <f>IF($H485="","",$J485*IFERROR(INDEX('Settings'!$L$10:$L$39,MATCH($H485,'Settings'!$I$10:$I$39,0)),0))</f>
        <v/>
      </c>
      <c r="R485" s="17">
        <f>IF($A485="","",$A485-WEEKDAY($A485,2)+1)</f>
        <v/>
      </c>
    </row>
    <row r="486">
      <c r="A486" s="5" t="n">
        <v>46244</v>
      </c>
      <c r="B486" s="4" t="inlineStr">
        <is>
          <t>North branch</t>
        </is>
      </c>
      <c r="C486" s="4" t="inlineStr">
        <is>
          <t>North 2</t>
        </is>
      </c>
      <c r="D486" s="4" t="inlineStr">
        <is>
          <t>Dr Mohamed Adel</t>
        </is>
      </c>
      <c r="E486" s="4" t="inlineStr">
        <is>
          <t>P-2866</t>
        </is>
      </c>
      <c r="F486" s="4" t="inlineStr">
        <is>
          <t>Returning</t>
        </is>
      </c>
      <c r="G486" s="4" t="inlineStr">
        <is>
          <t>Google</t>
        </is>
      </c>
      <c r="H486" s="4" t="inlineStr">
        <is>
          <t>Specialist consultation</t>
        </is>
      </c>
      <c r="I486" s="9">
        <f>IF($H486="","",IFERROR(INDEX('Settings'!$J$10:$J$39,MATCH($H486,'Settings'!$I$10:$I$39,0)),""))</f>
        <v/>
      </c>
      <c r="J486" s="6" t="n">
        <v>1</v>
      </c>
      <c r="K486" s="8" t="n">
        <v>350</v>
      </c>
      <c r="L486" s="8" t="n"/>
      <c r="M486" s="14">
        <f>IF($A486="","",$J486*$K486)</f>
        <v/>
      </c>
      <c r="N486" s="14">
        <f>IF($A486="","",$M486-$L486)</f>
        <v/>
      </c>
      <c r="O486" s="4" t="inlineStr">
        <is>
          <t>Cash</t>
        </is>
      </c>
      <c r="P486" s="15">
        <f>IF($A486="","",DATE(YEAR($A486),MONTH($A486),1))</f>
        <v/>
      </c>
      <c r="Q486" s="16">
        <f>IF($H486="","",$J486*IFERROR(INDEX('Settings'!$L$10:$L$39,MATCH($H486,'Settings'!$I$10:$I$39,0)),0))</f>
        <v/>
      </c>
      <c r="R486" s="17">
        <f>IF($A486="","",$A486-WEEKDAY($A486,2)+1)</f>
        <v/>
      </c>
    </row>
    <row r="487">
      <c r="A487" s="5" t="n">
        <v>46245</v>
      </c>
      <c r="B487" s="4" t="inlineStr">
        <is>
          <t>Main branch</t>
        </is>
      </c>
      <c r="C487" s="4" t="inlineStr">
        <is>
          <t>Main 1</t>
        </is>
      </c>
      <c r="D487" s="4" t="inlineStr">
        <is>
          <t>Dr Ahmed Mansour</t>
        </is>
      </c>
      <c r="E487" s="4" t="inlineStr">
        <is>
          <t>P-3074</t>
        </is>
      </c>
      <c r="F487" s="4" t="inlineStr">
        <is>
          <t>Returning</t>
        </is>
      </c>
      <c r="G487" s="4" t="inlineStr">
        <is>
          <t>Instagram</t>
        </is>
      </c>
      <c r="H487" s="4" t="inlineStr">
        <is>
          <t>Follow-up visit</t>
        </is>
      </c>
      <c r="I487" s="9">
        <f>IF($H487="","",IFERROR(INDEX('Settings'!$J$10:$J$39,MATCH($H487,'Settings'!$I$10:$I$39,0)),""))</f>
        <v/>
      </c>
      <c r="J487" s="6" t="n">
        <v>1</v>
      </c>
      <c r="K487" s="8" t="n">
        <v>150</v>
      </c>
      <c r="L487" s="8" t="n"/>
      <c r="M487" s="14">
        <f>IF($A487="","",$J487*$K487)</f>
        <v/>
      </c>
      <c r="N487" s="14">
        <f>IF($A487="","",$M487-$L487)</f>
        <v/>
      </c>
      <c r="O487" s="4" t="inlineStr">
        <is>
          <t>Card</t>
        </is>
      </c>
      <c r="P487" s="15">
        <f>IF($A487="","",DATE(YEAR($A487),MONTH($A487),1))</f>
        <v/>
      </c>
      <c r="Q487" s="16">
        <f>IF($H487="","",$J487*IFERROR(INDEX('Settings'!$L$10:$L$39,MATCH($H487,'Settings'!$I$10:$I$39,0)),0))</f>
        <v/>
      </c>
      <c r="R487" s="17">
        <f>IF($A487="","",$A487-WEEKDAY($A487,2)+1)</f>
        <v/>
      </c>
    </row>
    <row r="488">
      <c r="A488" s="5" t="n">
        <v>46245</v>
      </c>
      <c r="B488" s="4" t="inlineStr">
        <is>
          <t>Main branch</t>
        </is>
      </c>
      <c r="C488" s="4" t="inlineStr">
        <is>
          <t>Main 1</t>
        </is>
      </c>
      <c r="D488" s="4" t="inlineStr">
        <is>
          <t>Dr Sara Al Harbi</t>
        </is>
      </c>
      <c r="E488" s="4" t="inlineStr">
        <is>
          <t>P-2556</t>
        </is>
      </c>
      <c r="F488" s="4" t="inlineStr">
        <is>
          <t>New</t>
        </is>
      </c>
      <c r="G488" s="4" t="inlineStr">
        <is>
          <t>WhatsApp</t>
        </is>
      </c>
      <c r="H488" s="4" t="inlineStr">
        <is>
          <t>Specialist consultation</t>
        </is>
      </c>
      <c r="I488" s="9">
        <f>IF($H488="","",IFERROR(INDEX('Settings'!$J$10:$J$39,MATCH($H488,'Settings'!$I$10:$I$39,0)),""))</f>
        <v/>
      </c>
      <c r="J488" s="6" t="n">
        <v>1</v>
      </c>
      <c r="K488" s="8" t="n">
        <v>350</v>
      </c>
      <c r="L488" s="8" t="n"/>
      <c r="M488" s="14">
        <f>IF($A488="","",$J488*$K488)</f>
        <v/>
      </c>
      <c r="N488" s="14">
        <f>IF($A488="","",$M488-$L488)</f>
        <v/>
      </c>
      <c r="O488" s="4" t="inlineStr">
        <is>
          <t>Card</t>
        </is>
      </c>
      <c r="P488" s="15">
        <f>IF($A488="","",DATE(YEAR($A488),MONTH($A488),1))</f>
        <v/>
      </c>
      <c r="Q488" s="16">
        <f>IF($H488="","",$J488*IFERROR(INDEX('Settings'!$L$10:$L$39,MATCH($H488,'Settings'!$I$10:$I$39,0)),0))</f>
        <v/>
      </c>
      <c r="R488" s="17">
        <f>IF($A488="","",$A488-WEEKDAY($A488,2)+1)</f>
        <v/>
      </c>
    </row>
    <row r="489">
      <c r="A489" s="5" t="n">
        <v>46245</v>
      </c>
      <c r="B489" s="4" t="inlineStr">
        <is>
          <t>Main branch</t>
        </is>
      </c>
      <c r="C489" s="4" t="inlineStr">
        <is>
          <t>Main 1</t>
        </is>
      </c>
      <c r="D489" s="4" t="inlineStr">
        <is>
          <t>Dr Ahmed Mansour</t>
        </is>
      </c>
      <c r="E489" s="4" t="inlineStr">
        <is>
          <t>P-3075</t>
        </is>
      </c>
      <c r="F489" s="4" t="inlineStr">
        <is>
          <t>New</t>
        </is>
      </c>
      <c r="G489" s="4" t="inlineStr">
        <is>
          <t>Referral</t>
        </is>
      </c>
      <c r="H489" s="4" t="inlineStr">
        <is>
          <t>Physiotherapy session</t>
        </is>
      </c>
      <c r="I489" s="9">
        <f>IF($H489="","",IFERROR(INDEX('Settings'!$J$10:$J$39,MATCH($H489,'Settings'!$I$10:$I$39,0)),""))</f>
        <v/>
      </c>
      <c r="J489" s="6" t="n">
        <v>1</v>
      </c>
      <c r="K489" s="8" t="n">
        <v>300</v>
      </c>
      <c r="L489" s="8" t="n">
        <v>30</v>
      </c>
      <c r="M489" s="14">
        <f>IF($A489="","",$J489*$K489)</f>
        <v/>
      </c>
      <c r="N489" s="14">
        <f>IF($A489="","",$M489-$L489)</f>
        <v/>
      </c>
      <c r="O489" s="4" t="inlineStr">
        <is>
          <t>Insurance</t>
        </is>
      </c>
      <c r="P489" s="15">
        <f>IF($A489="","",DATE(YEAR($A489),MONTH($A489),1))</f>
        <v/>
      </c>
      <c r="Q489" s="16">
        <f>IF($H489="","",$J489*IFERROR(INDEX('Settings'!$L$10:$L$39,MATCH($H489,'Settings'!$I$10:$I$39,0)),0))</f>
        <v/>
      </c>
      <c r="R489" s="17">
        <f>IF($A489="","",$A489-WEEKDAY($A489,2)+1)</f>
        <v/>
      </c>
    </row>
    <row r="490">
      <c r="A490" s="5" t="n">
        <v>46245</v>
      </c>
      <c r="B490" s="4" t="inlineStr">
        <is>
          <t>Main branch</t>
        </is>
      </c>
      <c r="C490" s="4" t="inlineStr">
        <is>
          <t>Main 2</t>
        </is>
      </c>
      <c r="D490" s="4" t="inlineStr">
        <is>
          <t>Dr Sara Al Harbi</t>
        </is>
      </c>
      <c r="E490" s="4" t="inlineStr">
        <is>
          <t>P-2363</t>
        </is>
      </c>
      <c r="F490" s="4" t="inlineStr">
        <is>
          <t>Returning</t>
        </is>
      </c>
      <c r="G490" s="4" t="inlineStr">
        <is>
          <t>WhatsApp</t>
        </is>
      </c>
      <c r="H490" s="4" t="inlineStr">
        <is>
          <t>Follow-up visit</t>
        </is>
      </c>
      <c r="I490" s="9">
        <f>IF($H490="","",IFERROR(INDEX('Settings'!$J$10:$J$39,MATCH($H490,'Settings'!$I$10:$I$39,0)),""))</f>
        <v/>
      </c>
      <c r="J490" s="6" t="n">
        <v>1</v>
      </c>
      <c r="K490" s="8" t="n">
        <v>150</v>
      </c>
      <c r="L490" s="8" t="n"/>
      <c r="M490" s="14">
        <f>IF($A490="","",$J490*$K490)</f>
        <v/>
      </c>
      <c r="N490" s="14">
        <f>IF($A490="","",$M490-$L490)</f>
        <v/>
      </c>
      <c r="O490" s="4" t="inlineStr">
        <is>
          <t>Card</t>
        </is>
      </c>
      <c r="P490" s="15">
        <f>IF($A490="","",DATE(YEAR($A490),MONTH($A490),1))</f>
        <v/>
      </c>
      <c r="Q490" s="16">
        <f>IF($H490="","",$J490*IFERROR(INDEX('Settings'!$L$10:$L$39,MATCH($H490,'Settings'!$I$10:$I$39,0)),0))</f>
        <v/>
      </c>
      <c r="R490" s="17">
        <f>IF($A490="","",$A490-WEEKDAY($A490,2)+1)</f>
        <v/>
      </c>
    </row>
    <row r="491">
      <c r="A491" s="5" t="n">
        <v>46245</v>
      </c>
      <c r="B491" s="4" t="inlineStr">
        <is>
          <t>Main branch</t>
        </is>
      </c>
      <c r="C491" s="4" t="inlineStr">
        <is>
          <t>Main 2</t>
        </is>
      </c>
      <c r="D491" s="4" t="inlineStr">
        <is>
          <t>Dr Ahmed Mansour</t>
        </is>
      </c>
      <c r="E491" s="4" t="inlineStr">
        <is>
          <t>P-3429</t>
        </is>
      </c>
      <c r="F491" s="4" t="inlineStr">
        <is>
          <t>Returning</t>
        </is>
      </c>
      <c r="G491" s="4" t="inlineStr">
        <is>
          <t>WhatsApp</t>
        </is>
      </c>
      <c r="H491" s="4" t="inlineStr">
        <is>
          <t>Specialist consultation</t>
        </is>
      </c>
      <c r="I491" s="9">
        <f>IF($H491="","",IFERROR(INDEX('Settings'!$J$10:$J$39,MATCH($H491,'Settings'!$I$10:$I$39,0)),""))</f>
        <v/>
      </c>
      <c r="J491" s="6" t="n">
        <v>1</v>
      </c>
      <c r="K491" s="8" t="n">
        <v>350</v>
      </c>
      <c r="L491" s="8" t="n"/>
      <c r="M491" s="14">
        <f>IF($A491="","",$J491*$K491)</f>
        <v/>
      </c>
      <c r="N491" s="14">
        <f>IF($A491="","",$M491-$L491)</f>
        <v/>
      </c>
      <c r="O491" s="4" t="inlineStr">
        <is>
          <t>Payment link</t>
        </is>
      </c>
      <c r="P491" s="15">
        <f>IF($A491="","",DATE(YEAR($A491),MONTH($A491),1))</f>
        <v/>
      </c>
      <c r="Q491" s="16">
        <f>IF($H491="","",$J491*IFERROR(INDEX('Settings'!$L$10:$L$39,MATCH($H491,'Settings'!$I$10:$I$39,0)),0))</f>
        <v/>
      </c>
      <c r="R491" s="17">
        <f>IF($A491="","",$A491-WEEKDAY($A491,2)+1)</f>
        <v/>
      </c>
    </row>
    <row r="492">
      <c r="A492" s="5" t="n">
        <v>46245</v>
      </c>
      <c r="B492" s="4" t="inlineStr">
        <is>
          <t>Main branch</t>
        </is>
      </c>
      <c r="C492" s="4" t="inlineStr">
        <is>
          <t>Main 4</t>
        </is>
      </c>
      <c r="D492" s="4" t="inlineStr">
        <is>
          <t>Dr Sara Al Harbi</t>
        </is>
      </c>
      <c r="E492" s="4" t="inlineStr">
        <is>
          <t>P-2854</t>
        </is>
      </c>
      <c r="F492" s="4" t="inlineStr">
        <is>
          <t>New</t>
        </is>
      </c>
      <c r="G492" s="4" t="inlineStr">
        <is>
          <t>WhatsApp</t>
        </is>
      </c>
      <c r="H492" s="4" t="inlineStr">
        <is>
          <t>Vitamin C serum</t>
        </is>
      </c>
      <c r="I492" s="9">
        <f>IF($H492="","",IFERROR(INDEX('Settings'!$J$10:$J$39,MATCH($H492,'Settings'!$I$10:$I$39,0)),""))</f>
        <v/>
      </c>
      <c r="J492" s="6" t="n">
        <v>2</v>
      </c>
      <c r="K492" s="8" t="n">
        <v>220</v>
      </c>
      <c r="L492" s="8" t="n"/>
      <c r="M492" s="14">
        <f>IF($A492="","",$J492*$K492)</f>
        <v/>
      </c>
      <c r="N492" s="14">
        <f>IF($A492="","",$M492-$L492)</f>
        <v/>
      </c>
      <c r="O492" s="4" t="inlineStr">
        <is>
          <t>Card</t>
        </is>
      </c>
      <c r="P492" s="15">
        <f>IF($A492="","",DATE(YEAR($A492),MONTH($A492),1))</f>
        <v/>
      </c>
      <c r="Q492" s="16">
        <f>IF($H492="","",$J492*IFERROR(INDEX('Settings'!$L$10:$L$39,MATCH($H492,'Settings'!$I$10:$I$39,0)),0))</f>
        <v/>
      </c>
      <c r="R492" s="17">
        <f>IF($A492="","",$A492-WEEKDAY($A492,2)+1)</f>
        <v/>
      </c>
    </row>
    <row r="493">
      <c r="A493" s="5" t="n">
        <v>46245</v>
      </c>
      <c r="B493" s="4" t="inlineStr">
        <is>
          <t>Main branch</t>
        </is>
      </c>
      <c r="C493" s="4" t="inlineStr">
        <is>
          <t>Main 4</t>
        </is>
      </c>
      <c r="D493" s="4" t="inlineStr">
        <is>
          <t>Dr Sara Al Harbi</t>
        </is>
      </c>
      <c r="E493" s="4" t="inlineStr">
        <is>
          <t>P-3254</t>
        </is>
      </c>
      <c r="F493" s="4" t="inlineStr">
        <is>
          <t>Returning</t>
        </is>
      </c>
      <c r="G493" s="4" t="inlineStr">
        <is>
          <t>Google</t>
        </is>
      </c>
      <c r="H493" s="4" t="inlineStr">
        <is>
          <t>Follow-up visit</t>
        </is>
      </c>
      <c r="I493" s="9">
        <f>IF($H493="","",IFERROR(INDEX('Settings'!$J$10:$J$39,MATCH($H493,'Settings'!$I$10:$I$39,0)),""))</f>
        <v/>
      </c>
      <c r="J493" s="6" t="n">
        <v>1</v>
      </c>
      <c r="K493" s="8" t="n">
        <v>150</v>
      </c>
      <c r="L493" s="8" t="n"/>
      <c r="M493" s="14">
        <f>IF($A493="","",$J493*$K493)</f>
        <v/>
      </c>
      <c r="N493" s="14">
        <f>IF($A493="","",$M493-$L493)</f>
        <v/>
      </c>
      <c r="O493" s="4" t="inlineStr">
        <is>
          <t>Card</t>
        </is>
      </c>
      <c r="P493" s="15">
        <f>IF($A493="","",DATE(YEAR($A493),MONTH($A493),1))</f>
        <v/>
      </c>
      <c r="Q493" s="16">
        <f>IF($H493="","",$J493*IFERROR(INDEX('Settings'!$L$10:$L$39,MATCH($H493,'Settings'!$I$10:$I$39,0)),0))</f>
        <v/>
      </c>
      <c r="R493" s="17">
        <f>IF($A493="","",$A493-WEEKDAY($A493,2)+1)</f>
        <v/>
      </c>
    </row>
    <row r="494">
      <c r="A494" s="5" t="n">
        <v>46245</v>
      </c>
      <c r="B494" s="4" t="inlineStr">
        <is>
          <t>Main branch</t>
        </is>
      </c>
      <c r="C494" s="4" t="inlineStr">
        <is>
          <t>Main 4</t>
        </is>
      </c>
      <c r="D494" s="4" t="inlineStr">
        <is>
          <t>Dr Ahmed Mansour</t>
        </is>
      </c>
      <c r="E494" s="4" t="inlineStr">
        <is>
          <t>P-2655</t>
        </is>
      </c>
      <c r="F494" s="4" t="inlineStr">
        <is>
          <t>Returning</t>
        </is>
      </c>
      <c r="G494" s="4" t="inlineStr">
        <is>
          <t>Google</t>
        </is>
      </c>
      <c r="H494" s="4" t="inlineStr">
        <is>
          <t>Physiotherapy session</t>
        </is>
      </c>
      <c r="I494" s="9">
        <f>IF($H494="","",IFERROR(INDEX('Settings'!$J$10:$J$39,MATCH($H494,'Settings'!$I$10:$I$39,0)),""))</f>
        <v/>
      </c>
      <c r="J494" s="6" t="n">
        <v>1</v>
      </c>
      <c r="K494" s="8" t="n">
        <v>300</v>
      </c>
      <c r="L494" s="8" t="n"/>
      <c r="M494" s="14">
        <f>IF($A494="","",$J494*$K494)</f>
        <v/>
      </c>
      <c r="N494" s="14">
        <f>IF($A494="","",$M494-$L494)</f>
        <v/>
      </c>
      <c r="O494" s="4" t="inlineStr">
        <is>
          <t>Card</t>
        </is>
      </c>
      <c r="P494" s="15">
        <f>IF($A494="","",DATE(YEAR($A494),MONTH($A494),1))</f>
        <v/>
      </c>
      <c r="Q494" s="16">
        <f>IF($H494="","",$J494*IFERROR(INDEX('Settings'!$L$10:$L$39,MATCH($H494,'Settings'!$I$10:$I$39,0)),0))</f>
        <v/>
      </c>
      <c r="R494" s="17">
        <f>IF($A494="","",$A494-WEEKDAY($A494,2)+1)</f>
        <v/>
      </c>
    </row>
    <row r="495">
      <c r="A495" s="5" t="n">
        <v>46245</v>
      </c>
      <c r="B495" s="4" t="inlineStr">
        <is>
          <t>North branch</t>
        </is>
      </c>
      <c r="C495" s="4" t="inlineStr">
        <is>
          <t>North 1</t>
        </is>
      </c>
      <c r="D495" s="4" t="inlineStr">
        <is>
          <t>Dr Layla Al Qahtani</t>
        </is>
      </c>
      <c r="E495" s="4" t="inlineStr">
        <is>
          <t>P-3411</t>
        </is>
      </c>
      <c r="F495" s="4" t="inlineStr">
        <is>
          <t>Returning</t>
        </is>
      </c>
      <c r="G495" s="4" t="inlineStr">
        <is>
          <t>Instagram</t>
        </is>
      </c>
      <c r="H495" s="4" t="inlineStr">
        <is>
          <t>Laser session, face</t>
        </is>
      </c>
      <c r="I495" s="9">
        <f>IF($H495="","",IFERROR(INDEX('Settings'!$J$10:$J$39,MATCH($H495,'Settings'!$I$10:$I$39,0)),""))</f>
        <v/>
      </c>
      <c r="J495" s="6" t="n">
        <v>1</v>
      </c>
      <c r="K495" s="8" t="n">
        <v>600</v>
      </c>
      <c r="L495" s="8" t="n"/>
      <c r="M495" s="14">
        <f>IF($A495="","",$J495*$K495)</f>
        <v/>
      </c>
      <c r="N495" s="14">
        <f>IF($A495="","",$M495-$L495)</f>
        <v/>
      </c>
      <c r="O495" s="4" t="inlineStr">
        <is>
          <t>Payment link</t>
        </is>
      </c>
      <c r="P495" s="15">
        <f>IF($A495="","",DATE(YEAR($A495),MONTH($A495),1))</f>
        <v/>
      </c>
      <c r="Q495" s="16">
        <f>IF($H495="","",$J495*IFERROR(INDEX('Settings'!$L$10:$L$39,MATCH($H495,'Settings'!$I$10:$I$39,0)),0))</f>
        <v/>
      </c>
      <c r="R495" s="17">
        <f>IF($A495="","",$A495-WEEKDAY($A495,2)+1)</f>
        <v/>
      </c>
    </row>
    <row r="496">
      <c r="A496" s="5" t="n">
        <v>46245</v>
      </c>
      <c r="B496" s="4" t="inlineStr">
        <is>
          <t>North branch</t>
        </is>
      </c>
      <c r="C496" s="4" t="inlineStr">
        <is>
          <t>North 1</t>
        </is>
      </c>
      <c r="D496" s="4" t="inlineStr">
        <is>
          <t>Dr Khaled Youssef</t>
        </is>
      </c>
      <c r="E496" s="4" t="inlineStr">
        <is>
          <t>P-2496</t>
        </is>
      </c>
      <c r="F496" s="4" t="inlineStr">
        <is>
          <t>New</t>
        </is>
      </c>
      <c r="G496" s="4" t="inlineStr">
        <is>
          <t>Walk-in</t>
        </is>
      </c>
      <c r="H496" s="4" t="inlineStr">
        <is>
          <t>Specialist consultation</t>
        </is>
      </c>
      <c r="I496" s="9">
        <f>IF($H496="","",IFERROR(INDEX('Settings'!$J$10:$J$39,MATCH($H496,'Settings'!$I$10:$I$39,0)),""))</f>
        <v/>
      </c>
      <c r="J496" s="6" t="n">
        <v>1</v>
      </c>
      <c r="K496" s="8" t="n">
        <v>350</v>
      </c>
      <c r="L496" s="8" t="n"/>
      <c r="M496" s="14">
        <f>IF($A496="","",$J496*$K496)</f>
        <v/>
      </c>
      <c r="N496" s="14">
        <f>IF($A496="","",$M496-$L496)</f>
        <v/>
      </c>
      <c r="O496" s="4" t="inlineStr">
        <is>
          <t>Cash</t>
        </is>
      </c>
      <c r="P496" s="15">
        <f>IF($A496="","",DATE(YEAR($A496),MONTH($A496),1))</f>
        <v/>
      </c>
      <c r="Q496" s="16">
        <f>IF($H496="","",$J496*IFERROR(INDEX('Settings'!$L$10:$L$39,MATCH($H496,'Settings'!$I$10:$I$39,0)),0))</f>
        <v/>
      </c>
      <c r="R496" s="17">
        <f>IF($A496="","",$A496-WEEKDAY($A496,2)+1)</f>
        <v/>
      </c>
    </row>
    <row r="497">
      <c r="A497" s="5" t="n">
        <v>46245</v>
      </c>
      <c r="B497" s="4" t="inlineStr">
        <is>
          <t>North branch</t>
        </is>
      </c>
      <c r="C497" s="4" t="inlineStr">
        <is>
          <t>North 2</t>
        </is>
      </c>
      <c r="D497" s="4" t="inlineStr">
        <is>
          <t>Dr Khaled Youssef</t>
        </is>
      </c>
      <c r="E497" s="4" t="inlineStr">
        <is>
          <t>P-2790</t>
        </is>
      </c>
      <c r="F497" s="4" t="inlineStr">
        <is>
          <t>Returning</t>
        </is>
      </c>
      <c r="G497" s="4" t="inlineStr">
        <is>
          <t>WhatsApp</t>
        </is>
      </c>
      <c r="H497" s="4" t="inlineStr">
        <is>
          <t>Physiotherapy session</t>
        </is>
      </c>
      <c r="I497" s="9">
        <f>IF($H497="","",IFERROR(INDEX('Settings'!$J$10:$J$39,MATCH($H497,'Settings'!$I$10:$I$39,0)),""))</f>
        <v/>
      </c>
      <c r="J497" s="6" t="n">
        <v>1</v>
      </c>
      <c r="K497" s="8" t="n">
        <v>300</v>
      </c>
      <c r="L497" s="8" t="n"/>
      <c r="M497" s="14">
        <f>IF($A497="","",$J497*$K497)</f>
        <v/>
      </c>
      <c r="N497" s="14">
        <f>IF($A497="","",$M497-$L497)</f>
        <v/>
      </c>
      <c r="O497" s="4" t="inlineStr">
        <is>
          <t>Cash</t>
        </is>
      </c>
      <c r="P497" s="15">
        <f>IF($A497="","",DATE(YEAR($A497),MONTH($A497),1))</f>
        <v/>
      </c>
      <c r="Q497" s="16">
        <f>IF($H497="","",$J497*IFERROR(INDEX('Settings'!$L$10:$L$39,MATCH($H497,'Settings'!$I$10:$I$39,0)),0))</f>
        <v/>
      </c>
      <c r="R497" s="17">
        <f>IF($A497="","",$A497-WEEKDAY($A497,2)+1)</f>
        <v/>
      </c>
    </row>
    <row r="498">
      <c r="A498" s="5" t="n">
        <v>46246</v>
      </c>
      <c r="B498" s="4" t="inlineStr">
        <is>
          <t>Main branch</t>
        </is>
      </c>
      <c r="C498" s="4" t="inlineStr">
        <is>
          <t>Main 1</t>
        </is>
      </c>
      <c r="D498" s="4" t="inlineStr">
        <is>
          <t>Dr Noura Al Subaie</t>
        </is>
      </c>
      <c r="E498" s="4" t="inlineStr">
        <is>
          <t>P-3309</t>
        </is>
      </c>
      <c r="F498" s="4" t="inlineStr">
        <is>
          <t>New</t>
        </is>
      </c>
      <c r="G498" s="4" t="inlineStr">
        <is>
          <t>Instagram</t>
        </is>
      </c>
      <c r="H498" s="4" t="inlineStr">
        <is>
          <t>Filler injection</t>
        </is>
      </c>
      <c r="I498" s="9">
        <f>IF($H498="","",IFERROR(INDEX('Settings'!$J$10:$J$39,MATCH($H498,'Settings'!$I$10:$I$39,0)),""))</f>
        <v/>
      </c>
      <c r="J498" s="6" t="n">
        <v>1</v>
      </c>
      <c r="K498" s="8" t="n">
        <v>1800</v>
      </c>
      <c r="L498" s="8" t="n"/>
      <c r="M498" s="14">
        <f>IF($A498="","",$J498*$K498)</f>
        <v/>
      </c>
      <c r="N498" s="14">
        <f>IF($A498="","",$M498-$L498)</f>
        <v/>
      </c>
      <c r="O498" s="4" t="inlineStr">
        <is>
          <t>Payment link</t>
        </is>
      </c>
      <c r="P498" s="15">
        <f>IF($A498="","",DATE(YEAR($A498),MONTH($A498),1))</f>
        <v/>
      </c>
      <c r="Q498" s="16">
        <f>IF($H498="","",$J498*IFERROR(INDEX('Settings'!$L$10:$L$39,MATCH($H498,'Settings'!$I$10:$I$39,0)),0))</f>
        <v/>
      </c>
      <c r="R498" s="17">
        <f>IF($A498="","",$A498-WEEKDAY($A498,2)+1)</f>
        <v/>
      </c>
    </row>
    <row r="499">
      <c r="A499" s="5" t="n">
        <v>46246</v>
      </c>
      <c r="B499" s="4" t="inlineStr">
        <is>
          <t>Main branch</t>
        </is>
      </c>
      <c r="C499" s="4" t="inlineStr">
        <is>
          <t>Main 1</t>
        </is>
      </c>
      <c r="D499" s="4" t="inlineStr">
        <is>
          <t>Dr Sara Al Harbi</t>
        </is>
      </c>
      <c r="E499" s="4" t="inlineStr">
        <is>
          <t>P-2771</t>
        </is>
      </c>
      <c r="F499" s="4" t="inlineStr">
        <is>
          <t>Returning</t>
        </is>
      </c>
      <c r="G499" s="4" t="inlineStr">
        <is>
          <t>Instagram</t>
        </is>
      </c>
      <c r="H499" s="4" t="inlineStr">
        <is>
          <t>Sunscreen cream</t>
        </is>
      </c>
      <c r="I499" s="9">
        <f>IF($H499="","",IFERROR(INDEX('Settings'!$J$10:$J$39,MATCH($H499,'Settings'!$I$10:$I$39,0)),""))</f>
        <v/>
      </c>
      <c r="J499" s="6" t="n">
        <v>1</v>
      </c>
      <c r="K499" s="8" t="n">
        <v>120</v>
      </c>
      <c r="L499" s="8" t="n"/>
      <c r="M499" s="14">
        <f>IF($A499="","",$J499*$K499)</f>
        <v/>
      </c>
      <c r="N499" s="14">
        <f>IF($A499="","",$M499-$L499)</f>
        <v/>
      </c>
      <c r="O499" s="4" t="inlineStr">
        <is>
          <t>Card</t>
        </is>
      </c>
      <c r="P499" s="15">
        <f>IF($A499="","",DATE(YEAR($A499),MONTH($A499),1))</f>
        <v/>
      </c>
      <c r="Q499" s="16">
        <f>IF($H499="","",$J499*IFERROR(INDEX('Settings'!$L$10:$L$39,MATCH($H499,'Settings'!$I$10:$I$39,0)),0))</f>
        <v/>
      </c>
      <c r="R499" s="17">
        <f>IF($A499="","",$A499-WEEKDAY($A499,2)+1)</f>
        <v/>
      </c>
    </row>
    <row r="500">
      <c r="A500" s="5" t="n">
        <v>46246</v>
      </c>
      <c r="B500" s="4" t="inlineStr">
        <is>
          <t>Main branch</t>
        </is>
      </c>
      <c r="C500" s="4" t="inlineStr">
        <is>
          <t>Main 1</t>
        </is>
      </c>
      <c r="D500" s="4" t="inlineStr">
        <is>
          <t>Dr Sara Al Harbi</t>
        </is>
      </c>
      <c r="E500" s="4" t="inlineStr">
        <is>
          <t>P-2172</t>
        </is>
      </c>
      <c r="F500" s="4" t="inlineStr">
        <is>
          <t>Returning</t>
        </is>
      </c>
      <c r="G500" s="4" t="inlineStr">
        <is>
          <t>WhatsApp</t>
        </is>
      </c>
      <c r="H500" s="4" t="inlineStr">
        <is>
          <t>Chemical peel</t>
        </is>
      </c>
      <c r="I500" s="9">
        <f>IF($H500="","",IFERROR(INDEX('Settings'!$J$10:$J$39,MATCH($H500,'Settings'!$I$10:$I$39,0)),""))</f>
        <v/>
      </c>
      <c r="J500" s="6" t="n">
        <v>1</v>
      </c>
      <c r="K500" s="8" t="n">
        <v>800</v>
      </c>
      <c r="L500" s="8" t="n">
        <v>80</v>
      </c>
      <c r="M500" s="14">
        <f>IF($A500="","",$J500*$K500)</f>
        <v/>
      </c>
      <c r="N500" s="14">
        <f>IF($A500="","",$M500-$L500)</f>
        <v/>
      </c>
      <c r="O500" s="4" t="inlineStr">
        <is>
          <t>Card</t>
        </is>
      </c>
      <c r="P500" s="15">
        <f>IF($A500="","",DATE(YEAR($A500),MONTH($A500),1))</f>
        <v/>
      </c>
      <c r="Q500" s="16">
        <f>IF($H500="","",$J500*IFERROR(INDEX('Settings'!$L$10:$L$39,MATCH($H500,'Settings'!$I$10:$I$39,0)),0))</f>
        <v/>
      </c>
      <c r="R500" s="17">
        <f>IF($A500="","",$A500-WEEKDAY($A500,2)+1)</f>
        <v/>
      </c>
    </row>
    <row r="501">
      <c r="A501" s="5" t="n">
        <v>46246</v>
      </c>
      <c r="B501" s="4" t="inlineStr">
        <is>
          <t>Main branch</t>
        </is>
      </c>
      <c r="C501" s="4" t="inlineStr">
        <is>
          <t>Main 4</t>
        </is>
      </c>
      <c r="D501" s="4" t="inlineStr">
        <is>
          <t>Dr Sara Al Harbi</t>
        </is>
      </c>
      <c r="E501" s="4" t="inlineStr">
        <is>
          <t>P-2153</t>
        </is>
      </c>
      <c r="F501" s="4" t="inlineStr">
        <is>
          <t>New</t>
        </is>
      </c>
      <c r="G501" s="4" t="inlineStr">
        <is>
          <t>Walk-in</t>
        </is>
      </c>
      <c r="H501" s="4" t="inlineStr">
        <is>
          <t>Follow-up visit</t>
        </is>
      </c>
      <c r="I501" s="9">
        <f>IF($H501="","",IFERROR(INDEX('Settings'!$J$10:$J$39,MATCH($H501,'Settings'!$I$10:$I$39,0)),""))</f>
        <v/>
      </c>
      <c r="J501" s="6" t="n">
        <v>1</v>
      </c>
      <c r="K501" s="8" t="n">
        <v>150</v>
      </c>
      <c r="L501" s="8" t="n"/>
      <c r="M501" s="14">
        <f>IF($A501="","",$J501*$K501)</f>
        <v/>
      </c>
      <c r="N501" s="14">
        <f>IF($A501="","",$M501-$L501)</f>
        <v/>
      </c>
      <c r="O501" s="4" t="inlineStr">
        <is>
          <t>Cash</t>
        </is>
      </c>
      <c r="P501" s="15">
        <f>IF($A501="","",DATE(YEAR($A501),MONTH($A501),1))</f>
        <v/>
      </c>
      <c r="Q501" s="16">
        <f>IF($H501="","",$J501*IFERROR(INDEX('Settings'!$L$10:$L$39,MATCH($H501,'Settings'!$I$10:$I$39,0)),0))</f>
        <v/>
      </c>
      <c r="R501" s="17">
        <f>IF($A501="","",$A501-WEEKDAY($A501,2)+1)</f>
        <v/>
      </c>
    </row>
    <row r="502">
      <c r="A502" s="5" t="n">
        <v>46246</v>
      </c>
      <c r="B502" s="4" t="inlineStr">
        <is>
          <t>Main branch</t>
        </is>
      </c>
      <c r="C502" s="4" t="inlineStr">
        <is>
          <t>Main 4</t>
        </is>
      </c>
      <c r="D502" s="4" t="inlineStr">
        <is>
          <t>Dr Ahmed Mansour</t>
        </is>
      </c>
      <c r="E502" s="4" t="inlineStr">
        <is>
          <t>P-3410</t>
        </is>
      </c>
      <c r="F502" s="4" t="inlineStr">
        <is>
          <t>New</t>
        </is>
      </c>
      <c r="G502" s="4" t="inlineStr">
        <is>
          <t>Instagram</t>
        </is>
      </c>
      <c r="H502" s="4" t="inlineStr">
        <is>
          <t>Sunscreen cream</t>
        </is>
      </c>
      <c r="I502" s="9">
        <f>IF($H502="","",IFERROR(INDEX('Settings'!$J$10:$J$39,MATCH($H502,'Settings'!$I$10:$I$39,0)),""))</f>
        <v/>
      </c>
      <c r="J502" s="6" t="n">
        <v>1</v>
      </c>
      <c r="K502" s="8" t="n">
        <v>120</v>
      </c>
      <c r="L502" s="8" t="n"/>
      <c r="M502" s="14">
        <f>IF($A502="","",$J502*$K502)</f>
        <v/>
      </c>
      <c r="N502" s="14">
        <f>IF($A502="","",$M502-$L502)</f>
        <v/>
      </c>
      <c r="O502" s="4" t="inlineStr">
        <is>
          <t>Card</t>
        </is>
      </c>
      <c r="P502" s="15">
        <f>IF($A502="","",DATE(YEAR($A502),MONTH($A502),1))</f>
        <v/>
      </c>
      <c r="Q502" s="16">
        <f>IF($H502="","",$J502*IFERROR(INDEX('Settings'!$L$10:$L$39,MATCH($H502,'Settings'!$I$10:$I$39,0)),0))</f>
        <v/>
      </c>
      <c r="R502" s="17">
        <f>IF($A502="","",$A502-WEEKDAY($A502,2)+1)</f>
        <v/>
      </c>
    </row>
    <row r="503">
      <c r="A503" s="5" t="n">
        <v>46246</v>
      </c>
      <c r="B503" s="4" t="inlineStr">
        <is>
          <t>North branch</t>
        </is>
      </c>
      <c r="C503" s="4" t="inlineStr">
        <is>
          <t>North 1</t>
        </is>
      </c>
      <c r="D503" s="4" t="inlineStr">
        <is>
          <t>Dr Khaled Youssef</t>
        </is>
      </c>
      <c r="E503" s="4" t="inlineStr">
        <is>
          <t>P-2704</t>
        </is>
      </c>
      <c r="F503" s="4" t="inlineStr">
        <is>
          <t>Returning</t>
        </is>
      </c>
      <c r="G503" s="4" t="inlineStr">
        <is>
          <t>Walk-in</t>
        </is>
      </c>
      <c r="H503" s="4" t="inlineStr">
        <is>
          <t>Facial cleansing</t>
        </is>
      </c>
      <c r="I503" s="9">
        <f>IF($H503="","",IFERROR(INDEX('Settings'!$J$10:$J$39,MATCH($H503,'Settings'!$I$10:$I$39,0)),""))</f>
        <v/>
      </c>
      <c r="J503" s="6" t="n">
        <v>1</v>
      </c>
      <c r="K503" s="8" t="n">
        <v>400</v>
      </c>
      <c r="L503" s="8" t="n"/>
      <c r="M503" s="14">
        <f>IF($A503="","",$J503*$K503)</f>
        <v/>
      </c>
      <c r="N503" s="14">
        <f>IF($A503="","",$M503-$L503)</f>
        <v/>
      </c>
      <c r="O503" s="4" t="inlineStr">
        <is>
          <t>Card</t>
        </is>
      </c>
      <c r="P503" s="15">
        <f>IF($A503="","",DATE(YEAR($A503),MONTH($A503),1))</f>
        <v/>
      </c>
      <c r="Q503" s="16">
        <f>IF($H503="","",$J503*IFERROR(INDEX('Settings'!$L$10:$L$39,MATCH($H503,'Settings'!$I$10:$I$39,0)),0))</f>
        <v/>
      </c>
      <c r="R503" s="17">
        <f>IF($A503="","",$A503-WEEKDAY($A503,2)+1)</f>
        <v/>
      </c>
    </row>
    <row r="504">
      <c r="A504" s="5" t="n">
        <v>46246</v>
      </c>
      <c r="B504" s="4" t="inlineStr">
        <is>
          <t>North branch</t>
        </is>
      </c>
      <c r="C504" s="4" t="inlineStr">
        <is>
          <t>North 1</t>
        </is>
      </c>
      <c r="D504" s="4" t="inlineStr">
        <is>
          <t>Dr Khaled Youssef</t>
        </is>
      </c>
      <c r="E504" s="4" t="inlineStr">
        <is>
          <t>P-2482</t>
        </is>
      </c>
      <c r="F504" s="4" t="inlineStr">
        <is>
          <t>Returning</t>
        </is>
      </c>
      <c r="G504" s="4" t="inlineStr">
        <is>
          <t>Walk-in</t>
        </is>
      </c>
      <c r="H504" s="4" t="inlineStr">
        <is>
          <t>Specialist consultation</t>
        </is>
      </c>
      <c r="I504" s="9">
        <f>IF($H504="","",IFERROR(INDEX('Settings'!$J$10:$J$39,MATCH($H504,'Settings'!$I$10:$I$39,0)),""))</f>
        <v/>
      </c>
      <c r="J504" s="6" t="n">
        <v>1</v>
      </c>
      <c r="K504" s="8" t="n">
        <v>350</v>
      </c>
      <c r="L504" s="8" t="n"/>
      <c r="M504" s="14">
        <f>IF($A504="","",$J504*$K504)</f>
        <v/>
      </c>
      <c r="N504" s="14">
        <f>IF($A504="","",$M504-$L504)</f>
        <v/>
      </c>
      <c r="O504" s="4" t="inlineStr">
        <is>
          <t>Insurance</t>
        </is>
      </c>
      <c r="P504" s="15">
        <f>IF($A504="","",DATE(YEAR($A504),MONTH($A504),1))</f>
        <v/>
      </c>
      <c r="Q504" s="16">
        <f>IF($H504="","",$J504*IFERROR(INDEX('Settings'!$L$10:$L$39,MATCH($H504,'Settings'!$I$10:$I$39,0)),0))</f>
        <v/>
      </c>
      <c r="R504" s="17">
        <f>IF($A504="","",$A504-WEEKDAY($A504,2)+1)</f>
        <v/>
      </c>
    </row>
    <row r="505">
      <c r="A505" s="5" t="n">
        <v>46246</v>
      </c>
      <c r="B505" s="4" t="inlineStr">
        <is>
          <t>North branch</t>
        </is>
      </c>
      <c r="C505" s="4" t="inlineStr">
        <is>
          <t>North 1</t>
        </is>
      </c>
      <c r="D505" s="4" t="inlineStr">
        <is>
          <t>Dr Layla Al Qahtani</t>
        </is>
      </c>
      <c r="E505" s="4" t="inlineStr">
        <is>
          <t>P-2474</t>
        </is>
      </c>
      <c r="F505" s="4" t="inlineStr">
        <is>
          <t>Returning</t>
        </is>
      </c>
      <c r="G505" s="4" t="inlineStr">
        <is>
          <t>Instagram</t>
        </is>
      </c>
      <c r="H505" s="4" t="inlineStr">
        <is>
          <t>Physiotherapy session</t>
        </is>
      </c>
      <c r="I505" s="9">
        <f>IF($H505="","",IFERROR(INDEX('Settings'!$J$10:$J$39,MATCH($H505,'Settings'!$I$10:$I$39,0)),""))</f>
        <v/>
      </c>
      <c r="J505" s="6" t="n">
        <v>1</v>
      </c>
      <c r="K505" s="8" t="n">
        <v>300</v>
      </c>
      <c r="L505" s="8" t="n"/>
      <c r="M505" s="14">
        <f>IF($A505="","",$J505*$K505)</f>
        <v/>
      </c>
      <c r="N505" s="14">
        <f>IF($A505="","",$M505-$L505)</f>
        <v/>
      </c>
      <c r="O505" s="4" t="inlineStr">
        <is>
          <t>Card</t>
        </is>
      </c>
      <c r="P505" s="15">
        <f>IF($A505="","",DATE(YEAR($A505),MONTH($A505),1))</f>
        <v/>
      </c>
      <c r="Q505" s="16">
        <f>IF($H505="","",$J505*IFERROR(INDEX('Settings'!$L$10:$L$39,MATCH($H505,'Settings'!$I$10:$I$39,0)),0))</f>
        <v/>
      </c>
      <c r="R505" s="17">
        <f>IF($A505="","",$A505-WEEKDAY($A505,2)+1)</f>
        <v/>
      </c>
    </row>
    <row r="506">
      <c r="A506" s="5" t="n">
        <v>46246</v>
      </c>
      <c r="B506" s="4" t="inlineStr">
        <is>
          <t>North branch</t>
        </is>
      </c>
      <c r="C506" s="4" t="inlineStr">
        <is>
          <t>North 1</t>
        </is>
      </c>
      <c r="D506" s="4" t="inlineStr">
        <is>
          <t>Dr Khaled Youssef</t>
        </is>
      </c>
      <c r="E506" s="4" t="inlineStr">
        <is>
          <t>P-3066</t>
        </is>
      </c>
      <c r="F506" s="4" t="inlineStr">
        <is>
          <t>Returning</t>
        </is>
      </c>
      <c r="G506" s="4" t="inlineStr">
        <is>
          <t>Walk-in</t>
        </is>
      </c>
      <c r="H506" s="4" t="inlineStr">
        <is>
          <t>Physiotherapy session</t>
        </is>
      </c>
      <c r="I506" s="9">
        <f>IF($H506="","",IFERROR(INDEX('Settings'!$J$10:$J$39,MATCH($H506,'Settings'!$I$10:$I$39,0)),""))</f>
        <v/>
      </c>
      <c r="J506" s="6" t="n">
        <v>1</v>
      </c>
      <c r="K506" s="8" t="n">
        <v>300</v>
      </c>
      <c r="L506" s="8" t="n">
        <v>20</v>
      </c>
      <c r="M506" s="14">
        <f>IF($A506="","",$J506*$K506)</f>
        <v/>
      </c>
      <c r="N506" s="14">
        <f>IF($A506="","",$M506-$L506)</f>
        <v/>
      </c>
      <c r="O506" s="4" t="inlineStr">
        <is>
          <t>Card</t>
        </is>
      </c>
      <c r="P506" s="15">
        <f>IF($A506="","",DATE(YEAR($A506),MONTH($A506),1))</f>
        <v/>
      </c>
      <c r="Q506" s="16">
        <f>IF($H506="","",$J506*IFERROR(INDEX('Settings'!$L$10:$L$39,MATCH($H506,'Settings'!$I$10:$I$39,0)),0))</f>
        <v/>
      </c>
      <c r="R506" s="17">
        <f>IF($A506="","",$A506-WEEKDAY($A506,2)+1)</f>
        <v/>
      </c>
    </row>
    <row r="507">
      <c r="A507" s="5" t="n">
        <v>46246</v>
      </c>
      <c r="B507" s="4" t="inlineStr">
        <is>
          <t>North branch</t>
        </is>
      </c>
      <c r="C507" s="4" t="inlineStr">
        <is>
          <t>North 1</t>
        </is>
      </c>
      <c r="D507" s="4" t="inlineStr">
        <is>
          <t>Dr Khaled Youssef</t>
        </is>
      </c>
      <c r="E507" s="4" t="inlineStr">
        <is>
          <t>P-2302</t>
        </is>
      </c>
      <c r="F507" s="4" t="inlineStr">
        <is>
          <t>Returning</t>
        </is>
      </c>
      <c r="G507" s="4" t="inlineStr">
        <is>
          <t>Instagram</t>
        </is>
      </c>
      <c r="H507" s="4" t="inlineStr">
        <is>
          <t>Specialist consultation</t>
        </is>
      </c>
      <c r="I507" s="9">
        <f>IF($H507="","",IFERROR(INDEX('Settings'!$J$10:$J$39,MATCH($H507,'Settings'!$I$10:$I$39,0)),""))</f>
        <v/>
      </c>
      <c r="J507" s="6" t="n">
        <v>1</v>
      </c>
      <c r="K507" s="8" t="n">
        <v>350</v>
      </c>
      <c r="L507" s="8" t="n"/>
      <c r="M507" s="14">
        <f>IF($A507="","",$J507*$K507)</f>
        <v/>
      </c>
      <c r="N507" s="14">
        <f>IF($A507="","",$M507-$L507)</f>
        <v/>
      </c>
      <c r="O507" s="4" t="inlineStr">
        <is>
          <t>Card</t>
        </is>
      </c>
      <c r="P507" s="15">
        <f>IF($A507="","",DATE(YEAR($A507),MONTH($A507),1))</f>
        <v/>
      </c>
      <c r="Q507" s="16">
        <f>IF($H507="","",$J507*IFERROR(INDEX('Settings'!$L$10:$L$39,MATCH($H507,'Settings'!$I$10:$I$39,0)),0))</f>
        <v/>
      </c>
      <c r="R507" s="17">
        <f>IF($A507="","",$A507-WEEKDAY($A507,2)+1)</f>
        <v/>
      </c>
    </row>
    <row r="508">
      <c r="A508" s="5" t="n">
        <v>46246</v>
      </c>
      <c r="B508" s="4" t="inlineStr">
        <is>
          <t>North branch</t>
        </is>
      </c>
      <c r="C508" s="4" t="inlineStr">
        <is>
          <t>North 1</t>
        </is>
      </c>
      <c r="D508" s="4" t="inlineStr">
        <is>
          <t>Dr Layla Al Qahtani</t>
        </is>
      </c>
      <c r="E508" s="4" t="inlineStr">
        <is>
          <t>P-2401</t>
        </is>
      </c>
      <c r="F508" s="4" t="inlineStr">
        <is>
          <t>Returning</t>
        </is>
      </c>
      <c r="G508" s="4" t="inlineStr">
        <is>
          <t>Referral</t>
        </is>
      </c>
      <c r="H508" s="4" t="inlineStr">
        <is>
          <t>Botulinum toxin</t>
        </is>
      </c>
      <c r="I508" s="9">
        <f>IF($H508="","",IFERROR(INDEX('Settings'!$J$10:$J$39,MATCH($H508,'Settings'!$I$10:$I$39,0)),""))</f>
        <v/>
      </c>
      <c r="J508" s="6" t="n">
        <v>1</v>
      </c>
      <c r="K508" s="8" t="n">
        <v>1500</v>
      </c>
      <c r="L508" s="8" t="n"/>
      <c r="M508" s="14">
        <f>IF($A508="","",$J508*$K508)</f>
        <v/>
      </c>
      <c r="N508" s="14">
        <f>IF($A508="","",$M508-$L508)</f>
        <v/>
      </c>
      <c r="O508" s="4" t="inlineStr">
        <is>
          <t>Cash</t>
        </is>
      </c>
      <c r="P508" s="15">
        <f>IF($A508="","",DATE(YEAR($A508),MONTH($A508),1))</f>
        <v/>
      </c>
      <c r="Q508" s="16">
        <f>IF($H508="","",$J508*IFERROR(INDEX('Settings'!$L$10:$L$39,MATCH($H508,'Settings'!$I$10:$I$39,0)),0))</f>
        <v/>
      </c>
      <c r="R508" s="17">
        <f>IF($A508="","",$A508-WEEKDAY($A508,2)+1)</f>
        <v/>
      </c>
    </row>
    <row r="509">
      <c r="A509" s="5" t="n">
        <v>46246</v>
      </c>
      <c r="B509" s="4" t="inlineStr">
        <is>
          <t>North branch</t>
        </is>
      </c>
      <c r="C509" s="4" t="inlineStr">
        <is>
          <t>North 2</t>
        </is>
      </c>
      <c r="D509" s="4" t="inlineStr">
        <is>
          <t>Dr Khaled Youssef</t>
        </is>
      </c>
      <c r="E509" s="4" t="inlineStr">
        <is>
          <t>P-3421</t>
        </is>
      </c>
      <c r="F509" s="4" t="inlineStr">
        <is>
          <t>New</t>
        </is>
      </c>
      <c r="G509" s="4" t="inlineStr">
        <is>
          <t>Walk-in</t>
        </is>
      </c>
      <c r="H509" s="4" t="inlineStr">
        <is>
          <t>Physiotherapy session</t>
        </is>
      </c>
      <c r="I509" s="9">
        <f>IF($H509="","",IFERROR(INDEX('Settings'!$J$10:$J$39,MATCH($H509,'Settings'!$I$10:$I$39,0)),""))</f>
        <v/>
      </c>
      <c r="J509" s="6" t="n">
        <v>1</v>
      </c>
      <c r="K509" s="8" t="n">
        <v>300</v>
      </c>
      <c r="L509" s="8" t="n"/>
      <c r="M509" s="14">
        <f>IF($A509="","",$J509*$K509)</f>
        <v/>
      </c>
      <c r="N509" s="14">
        <f>IF($A509="","",$M509-$L509)</f>
        <v/>
      </c>
      <c r="O509" s="4" t="inlineStr">
        <is>
          <t>Card</t>
        </is>
      </c>
      <c r="P509" s="15">
        <f>IF($A509="","",DATE(YEAR($A509),MONTH($A509),1))</f>
        <v/>
      </c>
      <c r="Q509" s="16">
        <f>IF($H509="","",$J509*IFERROR(INDEX('Settings'!$L$10:$L$39,MATCH($H509,'Settings'!$I$10:$I$39,0)),0))</f>
        <v/>
      </c>
      <c r="R509" s="17">
        <f>IF($A509="","",$A509-WEEKDAY($A509,2)+1)</f>
        <v/>
      </c>
    </row>
    <row r="510">
      <c r="A510" s="5" t="n">
        <v>46246</v>
      </c>
      <c r="B510" s="4" t="inlineStr">
        <is>
          <t>North branch</t>
        </is>
      </c>
      <c r="C510" s="4" t="inlineStr">
        <is>
          <t>North 2</t>
        </is>
      </c>
      <c r="D510" s="4" t="inlineStr">
        <is>
          <t>Dr Layla Al Qahtani</t>
        </is>
      </c>
      <c r="E510" s="4" t="inlineStr">
        <is>
          <t>P-2518</t>
        </is>
      </c>
      <c r="F510" s="4" t="inlineStr">
        <is>
          <t>Returning</t>
        </is>
      </c>
      <c r="G510" s="4" t="inlineStr">
        <is>
          <t>Referral</t>
        </is>
      </c>
      <c r="H510" s="4" t="inlineStr">
        <is>
          <t>Laser session, face</t>
        </is>
      </c>
      <c r="I510" s="9">
        <f>IF($H510="","",IFERROR(INDEX('Settings'!$J$10:$J$39,MATCH($H510,'Settings'!$I$10:$I$39,0)),""))</f>
        <v/>
      </c>
      <c r="J510" s="6" t="n">
        <v>1</v>
      </c>
      <c r="K510" s="8" t="n">
        <v>600</v>
      </c>
      <c r="L510" s="8" t="n"/>
      <c r="M510" s="14">
        <f>IF($A510="","",$J510*$K510)</f>
        <v/>
      </c>
      <c r="N510" s="14">
        <f>IF($A510="","",$M510-$L510)</f>
        <v/>
      </c>
      <c r="O510" s="4" t="inlineStr">
        <is>
          <t>Cash</t>
        </is>
      </c>
      <c r="P510" s="15">
        <f>IF($A510="","",DATE(YEAR($A510),MONTH($A510),1))</f>
        <v/>
      </c>
      <c r="Q510" s="16">
        <f>IF($H510="","",$J510*IFERROR(INDEX('Settings'!$L$10:$L$39,MATCH($H510,'Settings'!$I$10:$I$39,0)),0))</f>
        <v/>
      </c>
      <c r="R510" s="17">
        <f>IF($A510="","",$A510-WEEKDAY($A510,2)+1)</f>
        <v/>
      </c>
    </row>
    <row r="511">
      <c r="A511" s="5" t="n">
        <v>46246</v>
      </c>
      <c r="B511" s="4" t="inlineStr">
        <is>
          <t>North branch</t>
        </is>
      </c>
      <c r="C511" s="4" t="inlineStr">
        <is>
          <t>North 2</t>
        </is>
      </c>
      <c r="D511" s="4" t="inlineStr">
        <is>
          <t>Dr Khaled Youssef</t>
        </is>
      </c>
      <c r="E511" s="4" t="inlineStr">
        <is>
          <t>P-2747</t>
        </is>
      </c>
      <c r="F511" s="4" t="inlineStr">
        <is>
          <t>Returning</t>
        </is>
      </c>
      <c r="G511" s="4" t="inlineStr">
        <is>
          <t>WhatsApp</t>
        </is>
      </c>
      <c r="H511" s="4" t="inlineStr">
        <is>
          <t>Specialist consultation</t>
        </is>
      </c>
      <c r="I511" s="9">
        <f>IF($H511="","",IFERROR(INDEX('Settings'!$J$10:$J$39,MATCH($H511,'Settings'!$I$10:$I$39,0)),""))</f>
        <v/>
      </c>
      <c r="J511" s="6" t="n">
        <v>1</v>
      </c>
      <c r="K511" s="8" t="n">
        <v>350</v>
      </c>
      <c r="L511" s="8" t="n"/>
      <c r="M511" s="14">
        <f>IF($A511="","",$J511*$K511)</f>
        <v/>
      </c>
      <c r="N511" s="14">
        <f>IF($A511="","",$M511-$L511)</f>
        <v/>
      </c>
      <c r="O511" s="4" t="inlineStr">
        <is>
          <t>Cash</t>
        </is>
      </c>
      <c r="P511" s="15">
        <f>IF($A511="","",DATE(YEAR($A511),MONTH($A511),1))</f>
        <v/>
      </c>
      <c r="Q511" s="16">
        <f>IF($H511="","",$J511*IFERROR(INDEX('Settings'!$L$10:$L$39,MATCH($H511,'Settings'!$I$10:$I$39,0)),0))</f>
        <v/>
      </c>
      <c r="R511" s="17">
        <f>IF($A511="","",$A511-WEEKDAY($A511,2)+1)</f>
        <v/>
      </c>
    </row>
    <row r="512">
      <c r="A512" s="5" t="n">
        <v>46246</v>
      </c>
      <c r="B512" s="4" t="inlineStr">
        <is>
          <t>North branch</t>
        </is>
      </c>
      <c r="C512" s="4" t="inlineStr">
        <is>
          <t>North 2</t>
        </is>
      </c>
      <c r="D512" s="4" t="inlineStr">
        <is>
          <t>Dr Khaled Youssef</t>
        </is>
      </c>
      <c r="E512" s="4" t="inlineStr">
        <is>
          <t>P-2922</t>
        </is>
      </c>
      <c r="F512" s="4" t="inlineStr">
        <is>
          <t>Returning</t>
        </is>
      </c>
      <c r="G512" s="4" t="inlineStr">
        <is>
          <t>Referral</t>
        </is>
      </c>
      <c r="H512" s="4" t="inlineStr">
        <is>
          <t>Filler injection</t>
        </is>
      </c>
      <c r="I512" s="9">
        <f>IF($H512="","",IFERROR(INDEX('Settings'!$J$10:$J$39,MATCH($H512,'Settings'!$I$10:$I$39,0)),""))</f>
        <v/>
      </c>
      <c r="J512" s="6" t="n">
        <v>1</v>
      </c>
      <c r="K512" s="8" t="n">
        <v>1800</v>
      </c>
      <c r="L512" s="8" t="n"/>
      <c r="M512" s="14">
        <f>IF($A512="","",$J512*$K512)</f>
        <v/>
      </c>
      <c r="N512" s="14">
        <f>IF($A512="","",$M512-$L512)</f>
        <v/>
      </c>
      <c r="O512" s="4" t="inlineStr">
        <is>
          <t>Insurance</t>
        </is>
      </c>
      <c r="P512" s="15">
        <f>IF($A512="","",DATE(YEAR($A512),MONTH($A512),1))</f>
        <v/>
      </c>
      <c r="Q512" s="16">
        <f>IF($H512="","",$J512*IFERROR(INDEX('Settings'!$L$10:$L$39,MATCH($H512,'Settings'!$I$10:$I$39,0)),0))</f>
        <v/>
      </c>
      <c r="R512" s="17">
        <f>IF($A512="","",$A512-WEEKDAY($A512,2)+1)</f>
        <v/>
      </c>
    </row>
    <row r="513">
      <c r="A513" s="5" t="n">
        <v>46246</v>
      </c>
      <c r="B513" s="4" t="inlineStr">
        <is>
          <t>North branch</t>
        </is>
      </c>
      <c r="C513" s="4" t="inlineStr">
        <is>
          <t>North 2</t>
        </is>
      </c>
      <c r="D513" s="4" t="inlineStr">
        <is>
          <t>Dr Khaled Youssef</t>
        </is>
      </c>
      <c r="E513" s="4" t="inlineStr">
        <is>
          <t>P-2451</t>
        </is>
      </c>
      <c r="F513" s="4" t="inlineStr">
        <is>
          <t>Returning</t>
        </is>
      </c>
      <c r="G513" s="4" t="inlineStr">
        <is>
          <t>Google</t>
        </is>
      </c>
      <c r="H513" s="4" t="inlineStr">
        <is>
          <t>Follow-up visit</t>
        </is>
      </c>
      <c r="I513" s="9">
        <f>IF($H513="","",IFERROR(INDEX('Settings'!$J$10:$J$39,MATCH($H513,'Settings'!$I$10:$I$39,0)),""))</f>
        <v/>
      </c>
      <c r="J513" s="6" t="n">
        <v>1</v>
      </c>
      <c r="K513" s="8" t="n">
        <v>150</v>
      </c>
      <c r="L513" s="8" t="n"/>
      <c r="M513" s="14">
        <f>IF($A513="","",$J513*$K513)</f>
        <v/>
      </c>
      <c r="N513" s="14">
        <f>IF($A513="","",$M513-$L513)</f>
        <v/>
      </c>
      <c r="O513" s="4" t="inlineStr">
        <is>
          <t>Card</t>
        </is>
      </c>
      <c r="P513" s="15">
        <f>IF($A513="","",DATE(YEAR($A513),MONTH($A513),1))</f>
        <v/>
      </c>
      <c r="Q513" s="16">
        <f>IF($H513="","",$J513*IFERROR(INDEX('Settings'!$L$10:$L$39,MATCH($H513,'Settings'!$I$10:$I$39,0)),0))</f>
        <v/>
      </c>
      <c r="R513" s="17">
        <f>IF($A513="","",$A513-WEEKDAY($A513,2)+1)</f>
        <v/>
      </c>
    </row>
    <row r="514">
      <c r="A514" s="5" t="n">
        <v>46246</v>
      </c>
      <c r="B514" s="4" t="inlineStr">
        <is>
          <t>North branch</t>
        </is>
      </c>
      <c r="C514" s="4" t="inlineStr">
        <is>
          <t>North 2</t>
        </is>
      </c>
      <c r="D514" s="4" t="inlineStr">
        <is>
          <t>Dr Layla Al Qahtani</t>
        </is>
      </c>
      <c r="E514" s="4" t="inlineStr">
        <is>
          <t>P-2733</t>
        </is>
      </c>
      <c r="F514" s="4" t="inlineStr">
        <is>
          <t>Returning</t>
        </is>
      </c>
      <c r="G514" s="4" t="inlineStr">
        <is>
          <t>Google</t>
        </is>
      </c>
      <c r="H514" s="4" t="inlineStr">
        <is>
          <t>Vitamin C serum</t>
        </is>
      </c>
      <c r="I514" s="9">
        <f>IF($H514="","",IFERROR(INDEX('Settings'!$J$10:$J$39,MATCH($H514,'Settings'!$I$10:$I$39,0)),""))</f>
        <v/>
      </c>
      <c r="J514" s="6" t="n">
        <v>2</v>
      </c>
      <c r="K514" s="8" t="n">
        <v>220</v>
      </c>
      <c r="L514" s="8" t="n"/>
      <c r="M514" s="14">
        <f>IF($A514="","",$J514*$K514)</f>
        <v/>
      </c>
      <c r="N514" s="14">
        <f>IF($A514="","",$M514-$L514)</f>
        <v/>
      </c>
      <c r="O514" s="4" t="inlineStr">
        <is>
          <t>Insurance</t>
        </is>
      </c>
      <c r="P514" s="15">
        <f>IF($A514="","",DATE(YEAR($A514),MONTH($A514),1))</f>
        <v/>
      </c>
      <c r="Q514" s="16">
        <f>IF($H514="","",$J514*IFERROR(INDEX('Settings'!$L$10:$L$39,MATCH($H514,'Settings'!$I$10:$I$39,0)),0))</f>
        <v/>
      </c>
      <c r="R514" s="17">
        <f>IF($A514="","",$A514-WEEKDAY($A514,2)+1)</f>
        <v/>
      </c>
    </row>
    <row r="515">
      <c r="A515" s="5" t="n">
        <v>46246</v>
      </c>
      <c r="B515" s="4" t="inlineStr">
        <is>
          <t>North branch</t>
        </is>
      </c>
      <c r="C515" s="4" t="inlineStr">
        <is>
          <t>North 2</t>
        </is>
      </c>
      <c r="D515" s="4" t="inlineStr">
        <is>
          <t>Dr Khaled Youssef</t>
        </is>
      </c>
      <c r="E515" s="4" t="inlineStr">
        <is>
          <t>P-2443</t>
        </is>
      </c>
      <c r="F515" s="4" t="inlineStr">
        <is>
          <t>Returning</t>
        </is>
      </c>
      <c r="G515" s="4" t="inlineStr">
        <is>
          <t>Instagram</t>
        </is>
      </c>
      <c r="H515" s="4" t="inlineStr">
        <is>
          <t>Filler injection</t>
        </is>
      </c>
      <c r="I515" s="9">
        <f>IF($H515="","",IFERROR(INDEX('Settings'!$J$10:$J$39,MATCH($H515,'Settings'!$I$10:$I$39,0)),""))</f>
        <v/>
      </c>
      <c r="J515" s="6" t="n">
        <v>1</v>
      </c>
      <c r="K515" s="8" t="n">
        <v>1800</v>
      </c>
      <c r="L515" s="8" t="n">
        <v>180</v>
      </c>
      <c r="M515" s="14">
        <f>IF($A515="","",$J515*$K515)</f>
        <v/>
      </c>
      <c r="N515" s="14">
        <f>IF($A515="","",$M515-$L515)</f>
        <v/>
      </c>
      <c r="O515" s="4" t="inlineStr">
        <is>
          <t>Cash</t>
        </is>
      </c>
      <c r="P515" s="15">
        <f>IF($A515="","",DATE(YEAR($A515),MONTH($A515),1))</f>
        <v/>
      </c>
      <c r="Q515" s="16">
        <f>IF($H515="","",$J515*IFERROR(INDEX('Settings'!$L$10:$L$39,MATCH($H515,'Settings'!$I$10:$I$39,0)),0))</f>
        <v/>
      </c>
      <c r="R515" s="17">
        <f>IF($A515="","",$A515-WEEKDAY($A515,2)+1)</f>
        <v/>
      </c>
    </row>
    <row r="516">
      <c r="A516" s="5" t="n">
        <v>46247</v>
      </c>
      <c r="B516" s="4" t="inlineStr">
        <is>
          <t>Main branch</t>
        </is>
      </c>
      <c r="C516" s="4" t="inlineStr">
        <is>
          <t>Main 2</t>
        </is>
      </c>
      <c r="D516" s="4" t="inlineStr">
        <is>
          <t>Dr Ahmed Mansour</t>
        </is>
      </c>
      <c r="E516" s="4" t="inlineStr">
        <is>
          <t>P-3101</t>
        </is>
      </c>
      <c r="F516" s="4" t="inlineStr">
        <is>
          <t>Returning</t>
        </is>
      </c>
      <c r="G516" s="4" t="inlineStr">
        <is>
          <t>Referral</t>
        </is>
      </c>
      <c r="H516" s="4" t="inlineStr">
        <is>
          <t>Specialist consultation</t>
        </is>
      </c>
      <c r="I516" s="9">
        <f>IF($H516="","",IFERROR(INDEX('Settings'!$J$10:$J$39,MATCH($H516,'Settings'!$I$10:$I$39,0)),""))</f>
        <v/>
      </c>
      <c r="J516" s="6" t="n">
        <v>1</v>
      </c>
      <c r="K516" s="8" t="n">
        <v>350</v>
      </c>
      <c r="L516" s="8" t="n"/>
      <c r="M516" s="14">
        <f>IF($A516="","",$J516*$K516)</f>
        <v/>
      </c>
      <c r="N516" s="14">
        <f>IF($A516="","",$M516-$L516)</f>
        <v/>
      </c>
      <c r="O516" s="4" t="inlineStr">
        <is>
          <t>Card</t>
        </is>
      </c>
      <c r="P516" s="15">
        <f>IF($A516="","",DATE(YEAR($A516),MONTH($A516),1))</f>
        <v/>
      </c>
      <c r="Q516" s="16">
        <f>IF($H516="","",$J516*IFERROR(INDEX('Settings'!$L$10:$L$39,MATCH($H516,'Settings'!$I$10:$I$39,0)),0))</f>
        <v/>
      </c>
      <c r="R516" s="17">
        <f>IF($A516="","",$A516-WEEKDAY($A516,2)+1)</f>
        <v/>
      </c>
    </row>
    <row r="517">
      <c r="A517" s="5" t="n">
        <v>46247</v>
      </c>
      <c r="B517" s="4" t="inlineStr">
        <is>
          <t>Main branch</t>
        </is>
      </c>
      <c r="C517" s="4" t="inlineStr">
        <is>
          <t>Main 4</t>
        </is>
      </c>
      <c r="D517" s="4" t="inlineStr">
        <is>
          <t>Dr Noura Al Subaie</t>
        </is>
      </c>
      <c r="E517" s="4" t="inlineStr">
        <is>
          <t>P-2283</t>
        </is>
      </c>
      <c r="F517" s="4" t="inlineStr">
        <is>
          <t>Returning</t>
        </is>
      </c>
      <c r="G517" s="4" t="inlineStr">
        <is>
          <t>Walk-in</t>
        </is>
      </c>
      <c r="H517" s="4" t="inlineStr">
        <is>
          <t>Laser session, face</t>
        </is>
      </c>
      <c r="I517" s="9">
        <f>IF($H517="","",IFERROR(INDEX('Settings'!$J$10:$J$39,MATCH($H517,'Settings'!$I$10:$I$39,0)),""))</f>
        <v/>
      </c>
      <c r="J517" s="6" t="n">
        <v>1</v>
      </c>
      <c r="K517" s="8" t="n">
        <v>600</v>
      </c>
      <c r="L517" s="8" t="n"/>
      <c r="M517" s="14">
        <f>IF($A517="","",$J517*$K517)</f>
        <v/>
      </c>
      <c r="N517" s="14">
        <f>IF($A517="","",$M517-$L517)</f>
        <v/>
      </c>
      <c r="O517" s="4" t="inlineStr">
        <is>
          <t>Cash</t>
        </is>
      </c>
      <c r="P517" s="15">
        <f>IF($A517="","",DATE(YEAR($A517),MONTH($A517),1))</f>
        <v/>
      </c>
      <c r="Q517" s="16">
        <f>IF($H517="","",$J517*IFERROR(INDEX('Settings'!$L$10:$L$39,MATCH($H517,'Settings'!$I$10:$I$39,0)),0))</f>
        <v/>
      </c>
      <c r="R517" s="17">
        <f>IF($A517="","",$A517-WEEKDAY($A517,2)+1)</f>
        <v/>
      </c>
    </row>
    <row r="518">
      <c r="A518" s="5" t="n">
        <v>46247</v>
      </c>
      <c r="B518" s="4" t="inlineStr">
        <is>
          <t>Main branch</t>
        </is>
      </c>
      <c r="C518" s="4" t="inlineStr">
        <is>
          <t>Main 4</t>
        </is>
      </c>
      <c r="D518" s="4" t="inlineStr">
        <is>
          <t>Dr Noura Al Subaie</t>
        </is>
      </c>
      <c r="E518" s="4" t="inlineStr">
        <is>
          <t>P-3178</t>
        </is>
      </c>
      <c r="F518" s="4" t="inlineStr">
        <is>
          <t>Returning</t>
        </is>
      </c>
      <c r="G518" s="4" t="inlineStr">
        <is>
          <t>Google</t>
        </is>
      </c>
      <c r="H518" s="4" t="inlineStr">
        <is>
          <t>Filler injection</t>
        </is>
      </c>
      <c r="I518" s="9">
        <f>IF($H518="","",IFERROR(INDEX('Settings'!$J$10:$J$39,MATCH($H518,'Settings'!$I$10:$I$39,0)),""))</f>
        <v/>
      </c>
      <c r="J518" s="6" t="n">
        <v>1</v>
      </c>
      <c r="K518" s="8" t="n">
        <v>1800</v>
      </c>
      <c r="L518" s="8" t="n"/>
      <c r="M518" s="14">
        <f>IF($A518="","",$J518*$K518)</f>
        <v/>
      </c>
      <c r="N518" s="14">
        <f>IF($A518="","",$M518-$L518)</f>
        <v/>
      </c>
      <c r="O518" s="4" t="inlineStr">
        <is>
          <t>Transfer</t>
        </is>
      </c>
      <c r="P518" s="15">
        <f>IF($A518="","",DATE(YEAR($A518),MONTH($A518),1))</f>
        <v/>
      </c>
      <c r="Q518" s="16">
        <f>IF($H518="","",$J518*IFERROR(INDEX('Settings'!$L$10:$L$39,MATCH($H518,'Settings'!$I$10:$I$39,0)),0))</f>
        <v/>
      </c>
      <c r="R518" s="17">
        <f>IF($A518="","",$A518-WEEKDAY($A518,2)+1)</f>
        <v/>
      </c>
    </row>
    <row r="519">
      <c r="A519" s="5" t="n">
        <v>46247</v>
      </c>
      <c r="B519" s="4" t="inlineStr">
        <is>
          <t>Main branch</t>
        </is>
      </c>
      <c r="C519" s="4" t="inlineStr">
        <is>
          <t>Main 4</t>
        </is>
      </c>
      <c r="D519" s="4" t="inlineStr">
        <is>
          <t>Dr Noura Al Subaie</t>
        </is>
      </c>
      <c r="E519" s="4" t="inlineStr">
        <is>
          <t>P-3271</t>
        </is>
      </c>
      <c r="F519" s="4" t="inlineStr">
        <is>
          <t>Returning</t>
        </is>
      </c>
      <c r="G519" s="4" t="inlineStr">
        <is>
          <t>Walk-in</t>
        </is>
      </c>
      <c r="H519" s="4" t="inlineStr">
        <is>
          <t>Specialist consultation</t>
        </is>
      </c>
      <c r="I519" s="9">
        <f>IF($H519="","",IFERROR(INDEX('Settings'!$J$10:$J$39,MATCH($H519,'Settings'!$I$10:$I$39,0)),""))</f>
        <v/>
      </c>
      <c r="J519" s="6" t="n">
        <v>1</v>
      </c>
      <c r="K519" s="8" t="n">
        <v>350</v>
      </c>
      <c r="L519" s="8" t="n"/>
      <c r="M519" s="14">
        <f>IF($A519="","",$J519*$K519)</f>
        <v/>
      </c>
      <c r="N519" s="14">
        <f>IF($A519="","",$M519-$L519)</f>
        <v/>
      </c>
      <c r="O519" s="4" t="inlineStr">
        <is>
          <t>Insurance</t>
        </is>
      </c>
      <c r="P519" s="15">
        <f>IF($A519="","",DATE(YEAR($A519),MONTH($A519),1))</f>
        <v/>
      </c>
      <c r="Q519" s="16">
        <f>IF($H519="","",$J519*IFERROR(INDEX('Settings'!$L$10:$L$39,MATCH($H519,'Settings'!$I$10:$I$39,0)),0))</f>
        <v/>
      </c>
      <c r="R519" s="17">
        <f>IF($A519="","",$A519-WEEKDAY($A519,2)+1)</f>
        <v/>
      </c>
    </row>
    <row r="520">
      <c r="A520" s="5" t="n">
        <v>46247</v>
      </c>
      <c r="B520" s="4" t="inlineStr">
        <is>
          <t>Main branch</t>
        </is>
      </c>
      <c r="C520" s="4" t="inlineStr">
        <is>
          <t>Main 4</t>
        </is>
      </c>
      <c r="D520" s="4" t="inlineStr">
        <is>
          <t>Dr Sara Al Harbi</t>
        </is>
      </c>
      <c r="E520" s="4" t="inlineStr">
        <is>
          <t>P-2875</t>
        </is>
      </c>
      <c r="F520" s="4" t="inlineStr">
        <is>
          <t>New</t>
        </is>
      </c>
      <c r="G520" s="4" t="inlineStr">
        <is>
          <t>Instagram</t>
        </is>
      </c>
      <c r="H520" s="4" t="inlineStr">
        <is>
          <t>Follow-up visit</t>
        </is>
      </c>
      <c r="I520" s="9">
        <f>IF($H520="","",IFERROR(INDEX('Settings'!$J$10:$J$39,MATCH($H520,'Settings'!$I$10:$I$39,0)),""))</f>
        <v/>
      </c>
      <c r="J520" s="6" t="n">
        <v>1</v>
      </c>
      <c r="K520" s="8" t="n">
        <v>150</v>
      </c>
      <c r="L520" s="8" t="n"/>
      <c r="M520" s="14">
        <f>IF($A520="","",$J520*$K520)</f>
        <v/>
      </c>
      <c r="N520" s="14">
        <f>IF($A520="","",$M520-$L520)</f>
        <v/>
      </c>
      <c r="O520" s="4" t="inlineStr">
        <is>
          <t>Card</t>
        </is>
      </c>
      <c r="P520" s="15">
        <f>IF($A520="","",DATE(YEAR($A520),MONTH($A520),1))</f>
        <v/>
      </c>
      <c r="Q520" s="16">
        <f>IF($H520="","",$J520*IFERROR(INDEX('Settings'!$L$10:$L$39,MATCH($H520,'Settings'!$I$10:$I$39,0)),0))</f>
        <v/>
      </c>
      <c r="R520" s="17">
        <f>IF($A520="","",$A520-WEEKDAY($A520,2)+1)</f>
        <v/>
      </c>
    </row>
    <row r="521">
      <c r="A521" s="5" t="n">
        <v>46247</v>
      </c>
      <c r="B521" s="4" t="inlineStr">
        <is>
          <t>Main branch</t>
        </is>
      </c>
      <c r="C521" s="4" t="inlineStr">
        <is>
          <t>Main 4</t>
        </is>
      </c>
      <c r="D521" s="4" t="inlineStr">
        <is>
          <t>Dr Ahmed Mansour</t>
        </is>
      </c>
      <c r="E521" s="4" t="inlineStr">
        <is>
          <t>P-2568</t>
        </is>
      </c>
      <c r="F521" s="4" t="inlineStr">
        <is>
          <t>Returning</t>
        </is>
      </c>
      <c r="G521" s="4" t="inlineStr">
        <is>
          <t>Referral</t>
        </is>
      </c>
      <c r="H521" s="4" t="inlineStr">
        <is>
          <t>Specialist consultation</t>
        </is>
      </c>
      <c r="I521" s="9">
        <f>IF($H521="","",IFERROR(INDEX('Settings'!$J$10:$J$39,MATCH($H521,'Settings'!$I$10:$I$39,0)),""))</f>
        <v/>
      </c>
      <c r="J521" s="6" t="n">
        <v>1</v>
      </c>
      <c r="K521" s="8" t="n">
        <v>350</v>
      </c>
      <c r="L521" s="8" t="n"/>
      <c r="M521" s="14">
        <f>IF($A521="","",$J521*$K521)</f>
        <v/>
      </c>
      <c r="N521" s="14">
        <f>IF($A521="","",$M521-$L521)</f>
        <v/>
      </c>
      <c r="O521" s="4" t="inlineStr">
        <is>
          <t>Card</t>
        </is>
      </c>
      <c r="P521" s="15">
        <f>IF($A521="","",DATE(YEAR($A521),MONTH($A521),1))</f>
        <v/>
      </c>
      <c r="Q521" s="16">
        <f>IF($H521="","",$J521*IFERROR(INDEX('Settings'!$L$10:$L$39,MATCH($H521,'Settings'!$I$10:$I$39,0)),0))</f>
        <v/>
      </c>
      <c r="R521" s="17">
        <f>IF($A521="","",$A521-WEEKDAY($A521,2)+1)</f>
        <v/>
      </c>
    </row>
    <row r="522">
      <c r="A522" s="5" t="n">
        <v>46247</v>
      </c>
      <c r="B522" s="4" t="inlineStr">
        <is>
          <t>North branch</t>
        </is>
      </c>
      <c r="C522" s="4" t="inlineStr">
        <is>
          <t>North 1</t>
        </is>
      </c>
      <c r="D522" s="4" t="inlineStr">
        <is>
          <t>Dr Layla Al Qahtani</t>
        </is>
      </c>
      <c r="E522" s="4" t="inlineStr">
        <is>
          <t>P-2806</t>
        </is>
      </c>
      <c r="F522" s="4" t="inlineStr">
        <is>
          <t>Returning</t>
        </is>
      </c>
      <c r="G522" s="4" t="inlineStr">
        <is>
          <t>Walk-in</t>
        </is>
      </c>
      <c r="H522" s="4" t="inlineStr">
        <is>
          <t>Skin tag removal</t>
        </is>
      </c>
      <c r="I522" s="9">
        <f>IF($H522="","",IFERROR(INDEX('Settings'!$J$10:$J$39,MATCH($H522,'Settings'!$I$10:$I$39,0)),""))</f>
        <v/>
      </c>
      <c r="J522" s="6" t="n">
        <v>1</v>
      </c>
      <c r="K522" s="8" t="n">
        <v>500</v>
      </c>
      <c r="L522" s="8" t="n"/>
      <c r="M522" s="14">
        <f>IF($A522="","",$J522*$K522)</f>
        <v/>
      </c>
      <c r="N522" s="14">
        <f>IF($A522="","",$M522-$L522)</f>
        <v/>
      </c>
      <c r="O522" s="4" t="inlineStr">
        <is>
          <t>Card</t>
        </is>
      </c>
      <c r="P522" s="15">
        <f>IF($A522="","",DATE(YEAR($A522),MONTH($A522),1))</f>
        <v/>
      </c>
      <c r="Q522" s="16">
        <f>IF($H522="","",$J522*IFERROR(INDEX('Settings'!$L$10:$L$39,MATCH($H522,'Settings'!$I$10:$I$39,0)),0))</f>
        <v/>
      </c>
      <c r="R522" s="17">
        <f>IF($A522="","",$A522-WEEKDAY($A522,2)+1)</f>
        <v/>
      </c>
    </row>
    <row r="523">
      <c r="A523" s="5" t="n">
        <v>46247</v>
      </c>
      <c r="B523" s="4" t="inlineStr">
        <is>
          <t>North branch</t>
        </is>
      </c>
      <c r="C523" s="4" t="inlineStr">
        <is>
          <t>North 1</t>
        </is>
      </c>
      <c r="D523" s="4" t="inlineStr">
        <is>
          <t>Dr Layla Al Qahtani</t>
        </is>
      </c>
      <c r="E523" s="4" t="inlineStr">
        <is>
          <t>P-2868</t>
        </is>
      </c>
      <c r="F523" s="4" t="inlineStr">
        <is>
          <t>Returning</t>
        </is>
      </c>
      <c r="G523" s="4" t="inlineStr">
        <is>
          <t>Walk-in</t>
        </is>
      </c>
      <c r="H523" s="4" t="inlineStr">
        <is>
          <t>Skin tag removal</t>
        </is>
      </c>
      <c r="I523" s="9">
        <f>IF($H523="","",IFERROR(INDEX('Settings'!$J$10:$J$39,MATCH($H523,'Settings'!$I$10:$I$39,0)),""))</f>
        <v/>
      </c>
      <c r="J523" s="6" t="n">
        <v>1</v>
      </c>
      <c r="K523" s="8" t="n">
        <v>500</v>
      </c>
      <c r="L523" s="8" t="n"/>
      <c r="M523" s="14">
        <f>IF($A523="","",$J523*$K523)</f>
        <v/>
      </c>
      <c r="N523" s="14">
        <f>IF($A523="","",$M523-$L523)</f>
        <v/>
      </c>
      <c r="O523" s="4" t="inlineStr">
        <is>
          <t>Cash</t>
        </is>
      </c>
      <c r="P523" s="15">
        <f>IF($A523="","",DATE(YEAR($A523),MONTH($A523),1))</f>
        <v/>
      </c>
      <c r="Q523" s="16">
        <f>IF($H523="","",$J523*IFERROR(INDEX('Settings'!$L$10:$L$39,MATCH($H523,'Settings'!$I$10:$I$39,0)),0))</f>
        <v/>
      </c>
      <c r="R523" s="17">
        <f>IF($A523="","",$A523-WEEKDAY($A523,2)+1)</f>
        <v/>
      </c>
    </row>
    <row r="524">
      <c r="A524" s="5" t="n">
        <v>46247</v>
      </c>
      <c r="B524" s="4" t="inlineStr">
        <is>
          <t>North branch</t>
        </is>
      </c>
      <c r="C524" s="4" t="inlineStr">
        <is>
          <t>North 1</t>
        </is>
      </c>
      <c r="D524" s="4" t="inlineStr">
        <is>
          <t>Dr Khaled Youssef</t>
        </is>
      </c>
      <c r="E524" s="4" t="inlineStr">
        <is>
          <t>P-2789</t>
        </is>
      </c>
      <c r="F524" s="4" t="inlineStr">
        <is>
          <t>Returning</t>
        </is>
      </c>
      <c r="G524" s="4" t="inlineStr">
        <is>
          <t>Instagram</t>
        </is>
      </c>
      <c r="H524" s="4" t="inlineStr">
        <is>
          <t>Botulinum toxin</t>
        </is>
      </c>
      <c r="I524" s="9">
        <f>IF($H524="","",IFERROR(INDEX('Settings'!$J$10:$J$39,MATCH($H524,'Settings'!$I$10:$I$39,0)),""))</f>
        <v/>
      </c>
      <c r="J524" s="6" t="n">
        <v>1</v>
      </c>
      <c r="K524" s="8" t="n">
        <v>1500</v>
      </c>
      <c r="L524" s="8" t="n"/>
      <c r="M524" s="14">
        <f>IF($A524="","",$J524*$K524)</f>
        <v/>
      </c>
      <c r="N524" s="14">
        <f>IF($A524="","",$M524-$L524)</f>
        <v/>
      </c>
      <c r="O524" s="4" t="inlineStr">
        <is>
          <t>Card</t>
        </is>
      </c>
      <c r="P524" s="15">
        <f>IF($A524="","",DATE(YEAR($A524),MONTH($A524),1))</f>
        <v/>
      </c>
      <c r="Q524" s="16">
        <f>IF($H524="","",$J524*IFERROR(INDEX('Settings'!$L$10:$L$39,MATCH($H524,'Settings'!$I$10:$I$39,0)),0))</f>
        <v/>
      </c>
      <c r="R524" s="17">
        <f>IF($A524="","",$A524-WEEKDAY($A524,2)+1)</f>
        <v/>
      </c>
    </row>
    <row r="525">
      <c r="A525" s="5" t="n">
        <v>46247</v>
      </c>
      <c r="B525" s="4" t="inlineStr">
        <is>
          <t>North branch</t>
        </is>
      </c>
      <c r="C525" s="4" t="inlineStr">
        <is>
          <t>North 1</t>
        </is>
      </c>
      <c r="D525" s="4" t="inlineStr">
        <is>
          <t>Dr Layla Al Qahtani</t>
        </is>
      </c>
      <c r="E525" s="4" t="inlineStr">
        <is>
          <t>P-3233</t>
        </is>
      </c>
      <c r="F525" s="4" t="inlineStr">
        <is>
          <t>Returning</t>
        </is>
      </c>
      <c r="G525" s="4" t="inlineStr">
        <is>
          <t>Google</t>
        </is>
      </c>
      <c r="H525" s="4" t="inlineStr">
        <is>
          <t>Follow-up visit</t>
        </is>
      </c>
      <c r="I525" s="9">
        <f>IF($H525="","",IFERROR(INDEX('Settings'!$J$10:$J$39,MATCH($H525,'Settings'!$I$10:$I$39,0)),""))</f>
        <v/>
      </c>
      <c r="J525" s="6" t="n">
        <v>1</v>
      </c>
      <c r="K525" s="8" t="n">
        <v>150</v>
      </c>
      <c r="L525" s="8" t="n"/>
      <c r="M525" s="14">
        <f>IF($A525="","",$J525*$K525)</f>
        <v/>
      </c>
      <c r="N525" s="14">
        <f>IF($A525="","",$M525-$L525)</f>
        <v/>
      </c>
      <c r="O525" s="4" t="inlineStr">
        <is>
          <t>Cash</t>
        </is>
      </c>
      <c r="P525" s="15">
        <f>IF($A525="","",DATE(YEAR($A525),MONTH($A525),1))</f>
        <v/>
      </c>
      <c r="Q525" s="16">
        <f>IF($H525="","",$J525*IFERROR(INDEX('Settings'!$L$10:$L$39,MATCH($H525,'Settings'!$I$10:$I$39,0)),0))</f>
        <v/>
      </c>
      <c r="R525" s="17">
        <f>IF($A525="","",$A525-WEEKDAY($A525,2)+1)</f>
        <v/>
      </c>
    </row>
    <row r="526">
      <c r="A526" s="5" t="n">
        <v>46247</v>
      </c>
      <c r="B526" s="4" t="inlineStr">
        <is>
          <t>North branch</t>
        </is>
      </c>
      <c r="C526" s="4" t="inlineStr">
        <is>
          <t>North 2</t>
        </is>
      </c>
      <c r="D526" s="4" t="inlineStr">
        <is>
          <t>Dr Layla Al Qahtani</t>
        </is>
      </c>
      <c r="E526" s="4" t="inlineStr">
        <is>
          <t>P-3423</t>
        </is>
      </c>
      <c r="F526" s="4" t="inlineStr">
        <is>
          <t>New</t>
        </is>
      </c>
      <c r="G526" s="4" t="inlineStr">
        <is>
          <t>Walk-in</t>
        </is>
      </c>
      <c r="H526" s="4" t="inlineStr">
        <is>
          <t>Laser session, face</t>
        </is>
      </c>
      <c r="I526" s="9">
        <f>IF($H526="","",IFERROR(INDEX('Settings'!$J$10:$J$39,MATCH($H526,'Settings'!$I$10:$I$39,0)),""))</f>
        <v/>
      </c>
      <c r="J526" s="6" t="n">
        <v>1</v>
      </c>
      <c r="K526" s="8" t="n">
        <v>600</v>
      </c>
      <c r="L526" s="8" t="n"/>
      <c r="M526" s="14">
        <f>IF($A526="","",$J526*$K526)</f>
        <v/>
      </c>
      <c r="N526" s="14">
        <f>IF($A526="","",$M526-$L526)</f>
        <v/>
      </c>
      <c r="O526" s="4" t="inlineStr">
        <is>
          <t>Card</t>
        </is>
      </c>
      <c r="P526" s="15">
        <f>IF($A526="","",DATE(YEAR($A526),MONTH($A526),1))</f>
        <v/>
      </c>
      <c r="Q526" s="16">
        <f>IF($H526="","",$J526*IFERROR(INDEX('Settings'!$L$10:$L$39,MATCH($H526,'Settings'!$I$10:$I$39,0)),0))</f>
        <v/>
      </c>
      <c r="R526" s="17">
        <f>IF($A526="","",$A526-WEEKDAY($A526,2)+1)</f>
        <v/>
      </c>
    </row>
    <row r="527">
      <c r="A527" s="5" t="n">
        <v>46247</v>
      </c>
      <c r="B527" s="4" t="inlineStr">
        <is>
          <t>North branch</t>
        </is>
      </c>
      <c r="C527" s="4" t="inlineStr">
        <is>
          <t>North 2</t>
        </is>
      </c>
      <c r="D527" s="4" t="inlineStr">
        <is>
          <t>Dr Layla Al Qahtani</t>
        </is>
      </c>
      <c r="E527" s="4" t="inlineStr">
        <is>
          <t>P-2814</t>
        </is>
      </c>
      <c r="F527" s="4" t="inlineStr">
        <is>
          <t>Returning</t>
        </is>
      </c>
      <c r="G527" s="4" t="inlineStr">
        <is>
          <t>Google</t>
        </is>
      </c>
      <c r="H527" s="4" t="inlineStr">
        <is>
          <t>Specialist consultation</t>
        </is>
      </c>
      <c r="I527" s="9">
        <f>IF($H527="","",IFERROR(INDEX('Settings'!$J$10:$J$39,MATCH($H527,'Settings'!$I$10:$I$39,0)),""))</f>
        <v/>
      </c>
      <c r="J527" s="6" t="n">
        <v>1</v>
      </c>
      <c r="K527" s="8" t="n">
        <v>350</v>
      </c>
      <c r="L527" s="8" t="n"/>
      <c r="M527" s="14">
        <f>IF($A527="","",$J527*$K527)</f>
        <v/>
      </c>
      <c r="N527" s="14">
        <f>IF($A527="","",$M527-$L527)</f>
        <v/>
      </c>
      <c r="O527" s="4" t="inlineStr">
        <is>
          <t>Card</t>
        </is>
      </c>
      <c r="P527" s="15">
        <f>IF($A527="","",DATE(YEAR($A527),MONTH($A527),1))</f>
        <v/>
      </c>
      <c r="Q527" s="16">
        <f>IF($H527="","",$J527*IFERROR(INDEX('Settings'!$L$10:$L$39,MATCH($H527,'Settings'!$I$10:$I$39,0)),0))</f>
        <v/>
      </c>
      <c r="R527" s="17">
        <f>IF($A527="","",$A527-WEEKDAY($A527,2)+1)</f>
        <v/>
      </c>
    </row>
    <row r="528">
      <c r="A528" s="5" t="n">
        <v>46247</v>
      </c>
      <c r="B528" s="4" t="inlineStr">
        <is>
          <t>North branch</t>
        </is>
      </c>
      <c r="C528" s="4" t="inlineStr">
        <is>
          <t>North 2</t>
        </is>
      </c>
      <c r="D528" s="4" t="inlineStr">
        <is>
          <t>Dr Mohamed Adel</t>
        </is>
      </c>
      <c r="E528" s="4" t="inlineStr">
        <is>
          <t>P-2738</t>
        </is>
      </c>
      <c r="F528" s="4" t="inlineStr">
        <is>
          <t>Returning</t>
        </is>
      </c>
      <c r="G528" s="4" t="inlineStr">
        <is>
          <t>WhatsApp</t>
        </is>
      </c>
      <c r="H528" s="4" t="inlineStr">
        <is>
          <t>Facial cleansing</t>
        </is>
      </c>
      <c r="I528" s="9">
        <f>IF($H528="","",IFERROR(INDEX('Settings'!$J$10:$J$39,MATCH($H528,'Settings'!$I$10:$I$39,0)),""))</f>
        <v/>
      </c>
      <c r="J528" s="6" t="n">
        <v>1</v>
      </c>
      <c r="K528" s="8" t="n">
        <v>400</v>
      </c>
      <c r="L528" s="8" t="n"/>
      <c r="M528" s="14">
        <f>IF($A528="","",$J528*$K528)</f>
        <v/>
      </c>
      <c r="N528" s="14">
        <f>IF($A528="","",$M528-$L528)</f>
        <v/>
      </c>
      <c r="O528" s="4" t="inlineStr">
        <is>
          <t>Card</t>
        </is>
      </c>
      <c r="P528" s="15">
        <f>IF($A528="","",DATE(YEAR($A528),MONTH($A528),1))</f>
        <v/>
      </c>
      <c r="Q528" s="16">
        <f>IF($H528="","",$J528*IFERROR(INDEX('Settings'!$L$10:$L$39,MATCH($H528,'Settings'!$I$10:$I$39,0)),0))</f>
        <v/>
      </c>
      <c r="R528" s="17">
        <f>IF($A528="","",$A528-WEEKDAY($A528,2)+1)</f>
        <v/>
      </c>
    </row>
    <row r="529">
      <c r="A529" s="5" t="n">
        <v>46249</v>
      </c>
      <c r="B529" s="4" t="inlineStr">
        <is>
          <t>Main branch</t>
        </is>
      </c>
      <c r="C529" s="4" t="inlineStr">
        <is>
          <t>Main 1</t>
        </is>
      </c>
      <c r="D529" s="4" t="inlineStr">
        <is>
          <t>Dr Noura Al Subaie</t>
        </is>
      </c>
      <c r="E529" s="4" t="inlineStr">
        <is>
          <t>P-2814</t>
        </is>
      </c>
      <c r="F529" s="4" t="inlineStr">
        <is>
          <t>Returning</t>
        </is>
      </c>
      <c r="G529" s="4" t="inlineStr">
        <is>
          <t>Referral</t>
        </is>
      </c>
      <c r="H529" s="4" t="inlineStr">
        <is>
          <t>Filler injection</t>
        </is>
      </c>
      <c r="I529" s="9">
        <f>IF($H529="","",IFERROR(INDEX('Settings'!$J$10:$J$39,MATCH($H529,'Settings'!$I$10:$I$39,0)),""))</f>
        <v/>
      </c>
      <c r="J529" s="6" t="n">
        <v>1</v>
      </c>
      <c r="K529" s="8" t="n">
        <v>1800</v>
      </c>
      <c r="L529" s="8" t="n">
        <v>180</v>
      </c>
      <c r="M529" s="14">
        <f>IF($A529="","",$J529*$K529)</f>
        <v/>
      </c>
      <c r="N529" s="14">
        <f>IF($A529="","",$M529-$L529)</f>
        <v/>
      </c>
      <c r="O529" s="4" t="inlineStr">
        <is>
          <t>Cash</t>
        </is>
      </c>
      <c r="P529" s="15">
        <f>IF($A529="","",DATE(YEAR($A529),MONTH($A529),1))</f>
        <v/>
      </c>
      <c r="Q529" s="16">
        <f>IF($H529="","",$J529*IFERROR(INDEX('Settings'!$L$10:$L$39,MATCH($H529,'Settings'!$I$10:$I$39,0)),0))</f>
        <v/>
      </c>
      <c r="R529" s="17">
        <f>IF($A529="","",$A529-WEEKDAY($A529,2)+1)</f>
        <v/>
      </c>
    </row>
    <row r="530">
      <c r="A530" s="5" t="n">
        <v>46249</v>
      </c>
      <c r="B530" s="4" t="inlineStr">
        <is>
          <t>Main branch</t>
        </is>
      </c>
      <c r="C530" s="4" t="inlineStr">
        <is>
          <t>Main 1</t>
        </is>
      </c>
      <c r="D530" s="4" t="inlineStr">
        <is>
          <t>Dr Noura Al Subaie</t>
        </is>
      </c>
      <c r="E530" s="4" t="inlineStr">
        <is>
          <t>P-3480</t>
        </is>
      </c>
      <c r="F530" s="4" t="inlineStr">
        <is>
          <t>New</t>
        </is>
      </c>
      <c r="G530" s="4" t="inlineStr">
        <is>
          <t>Instagram</t>
        </is>
      </c>
      <c r="H530" s="4" t="inlineStr">
        <is>
          <t>Physiotherapy session</t>
        </is>
      </c>
      <c r="I530" s="9">
        <f>IF($H530="","",IFERROR(INDEX('Settings'!$J$10:$J$39,MATCH($H530,'Settings'!$I$10:$I$39,0)),""))</f>
        <v/>
      </c>
      <c r="J530" s="6" t="n">
        <v>1</v>
      </c>
      <c r="K530" s="8" t="n">
        <v>300</v>
      </c>
      <c r="L530" s="8" t="n"/>
      <c r="M530" s="14">
        <f>IF($A530="","",$J530*$K530)</f>
        <v/>
      </c>
      <c r="N530" s="14">
        <f>IF($A530="","",$M530-$L530)</f>
        <v/>
      </c>
      <c r="O530" s="4" t="inlineStr">
        <is>
          <t>Card</t>
        </is>
      </c>
      <c r="P530" s="15">
        <f>IF($A530="","",DATE(YEAR($A530),MONTH($A530),1))</f>
        <v/>
      </c>
      <c r="Q530" s="16">
        <f>IF($H530="","",$J530*IFERROR(INDEX('Settings'!$L$10:$L$39,MATCH($H530,'Settings'!$I$10:$I$39,0)),0))</f>
        <v/>
      </c>
      <c r="R530" s="17">
        <f>IF($A530="","",$A530-WEEKDAY($A530,2)+1)</f>
        <v/>
      </c>
    </row>
    <row r="531">
      <c r="A531" s="5" t="n">
        <v>46249</v>
      </c>
      <c r="B531" s="4" t="inlineStr">
        <is>
          <t>Main branch</t>
        </is>
      </c>
      <c r="C531" s="4" t="inlineStr">
        <is>
          <t>Main 2</t>
        </is>
      </c>
      <c r="D531" s="4" t="inlineStr">
        <is>
          <t>Dr Ahmed Mansour</t>
        </is>
      </c>
      <c r="E531" s="4" t="inlineStr">
        <is>
          <t>P-2234</t>
        </is>
      </c>
      <c r="F531" s="4" t="inlineStr">
        <is>
          <t>Returning</t>
        </is>
      </c>
      <c r="G531" s="4" t="inlineStr">
        <is>
          <t>Instagram</t>
        </is>
      </c>
      <c r="H531" s="4" t="inlineStr">
        <is>
          <t>Laser session, face</t>
        </is>
      </c>
      <c r="I531" s="9">
        <f>IF($H531="","",IFERROR(INDEX('Settings'!$J$10:$J$39,MATCH($H531,'Settings'!$I$10:$I$39,0)),""))</f>
        <v/>
      </c>
      <c r="J531" s="6" t="n">
        <v>1</v>
      </c>
      <c r="K531" s="8" t="n">
        <v>600</v>
      </c>
      <c r="L531" s="8" t="n"/>
      <c r="M531" s="14">
        <f>IF($A531="","",$J531*$K531)</f>
        <v/>
      </c>
      <c r="N531" s="14">
        <f>IF($A531="","",$M531-$L531)</f>
        <v/>
      </c>
      <c r="O531" s="4" t="inlineStr">
        <is>
          <t>Cash</t>
        </is>
      </c>
      <c r="P531" s="15">
        <f>IF($A531="","",DATE(YEAR($A531),MONTH($A531),1))</f>
        <v/>
      </c>
      <c r="Q531" s="16">
        <f>IF($H531="","",$J531*IFERROR(INDEX('Settings'!$L$10:$L$39,MATCH($H531,'Settings'!$I$10:$I$39,0)),0))</f>
        <v/>
      </c>
      <c r="R531" s="17">
        <f>IF($A531="","",$A531-WEEKDAY($A531,2)+1)</f>
        <v/>
      </c>
    </row>
    <row r="532">
      <c r="A532" s="5" t="n">
        <v>46249</v>
      </c>
      <c r="B532" s="4" t="inlineStr">
        <is>
          <t>Main branch</t>
        </is>
      </c>
      <c r="C532" s="4" t="inlineStr">
        <is>
          <t>Main 2</t>
        </is>
      </c>
      <c r="D532" s="4" t="inlineStr">
        <is>
          <t>Dr Sara Al Harbi</t>
        </is>
      </c>
      <c r="E532" s="4" t="inlineStr">
        <is>
          <t>P-2813</t>
        </is>
      </c>
      <c r="F532" s="4" t="inlineStr">
        <is>
          <t>Returning</t>
        </is>
      </c>
      <c r="G532" s="4" t="inlineStr">
        <is>
          <t>Walk-in</t>
        </is>
      </c>
      <c r="H532" s="4" t="inlineStr">
        <is>
          <t>Specialist consultation</t>
        </is>
      </c>
      <c r="I532" s="9">
        <f>IF($H532="","",IFERROR(INDEX('Settings'!$J$10:$J$39,MATCH($H532,'Settings'!$I$10:$I$39,0)),""))</f>
        <v/>
      </c>
      <c r="J532" s="6" t="n">
        <v>1</v>
      </c>
      <c r="K532" s="8" t="n">
        <v>350</v>
      </c>
      <c r="L532" s="8" t="n"/>
      <c r="M532" s="14">
        <f>IF($A532="","",$J532*$K532)</f>
        <v/>
      </c>
      <c r="N532" s="14">
        <f>IF($A532="","",$M532-$L532)</f>
        <v/>
      </c>
      <c r="O532" s="4" t="inlineStr">
        <is>
          <t>Card</t>
        </is>
      </c>
      <c r="P532" s="15">
        <f>IF($A532="","",DATE(YEAR($A532),MONTH($A532),1))</f>
        <v/>
      </c>
      <c r="Q532" s="16">
        <f>IF($H532="","",$J532*IFERROR(INDEX('Settings'!$L$10:$L$39,MATCH($H532,'Settings'!$I$10:$I$39,0)),0))</f>
        <v/>
      </c>
      <c r="R532" s="17">
        <f>IF($A532="","",$A532-WEEKDAY($A532,2)+1)</f>
        <v/>
      </c>
    </row>
    <row r="533">
      <c r="A533" s="5" t="n">
        <v>46249</v>
      </c>
      <c r="B533" s="4" t="inlineStr">
        <is>
          <t>Main branch</t>
        </is>
      </c>
      <c r="C533" s="4" t="inlineStr">
        <is>
          <t>Main 3</t>
        </is>
      </c>
      <c r="D533" s="4" t="inlineStr">
        <is>
          <t>Dr Noura Al Subaie</t>
        </is>
      </c>
      <c r="E533" s="4" t="inlineStr">
        <is>
          <t>P-2275</t>
        </is>
      </c>
      <c r="F533" s="4" t="inlineStr">
        <is>
          <t>Returning</t>
        </is>
      </c>
      <c r="G533" s="4" t="inlineStr">
        <is>
          <t>Referral</t>
        </is>
      </c>
      <c r="H533" s="4" t="inlineStr">
        <is>
          <t>Follow-up visit</t>
        </is>
      </c>
      <c r="I533" s="9">
        <f>IF($H533="","",IFERROR(INDEX('Settings'!$J$10:$J$39,MATCH($H533,'Settings'!$I$10:$I$39,0)),""))</f>
        <v/>
      </c>
      <c r="J533" s="6" t="n">
        <v>1</v>
      </c>
      <c r="K533" s="8" t="n">
        <v>150</v>
      </c>
      <c r="L533" s="8" t="n"/>
      <c r="M533" s="14">
        <f>IF($A533="","",$J533*$K533)</f>
        <v/>
      </c>
      <c r="N533" s="14">
        <f>IF($A533="","",$M533-$L533)</f>
        <v/>
      </c>
      <c r="O533" s="4" t="inlineStr">
        <is>
          <t>Card</t>
        </is>
      </c>
      <c r="P533" s="15">
        <f>IF($A533="","",DATE(YEAR($A533),MONTH($A533),1))</f>
        <v/>
      </c>
      <c r="Q533" s="16">
        <f>IF($H533="","",$J533*IFERROR(INDEX('Settings'!$L$10:$L$39,MATCH($H533,'Settings'!$I$10:$I$39,0)),0))</f>
        <v/>
      </c>
      <c r="R533" s="17">
        <f>IF($A533="","",$A533-WEEKDAY($A533,2)+1)</f>
        <v/>
      </c>
    </row>
    <row r="534">
      <c r="A534" s="5" t="n">
        <v>46249</v>
      </c>
      <c r="B534" s="4" t="inlineStr">
        <is>
          <t>Main branch</t>
        </is>
      </c>
      <c r="C534" s="4" t="inlineStr">
        <is>
          <t>Main 3</t>
        </is>
      </c>
      <c r="D534" s="4" t="inlineStr">
        <is>
          <t>Dr Noura Al Subaie</t>
        </is>
      </c>
      <c r="E534" s="4" t="inlineStr">
        <is>
          <t>P-2714</t>
        </is>
      </c>
      <c r="F534" s="4" t="inlineStr">
        <is>
          <t>Returning</t>
        </is>
      </c>
      <c r="G534" s="4" t="inlineStr">
        <is>
          <t>Instagram</t>
        </is>
      </c>
      <c r="H534" s="4" t="inlineStr">
        <is>
          <t>Botulinum toxin</t>
        </is>
      </c>
      <c r="I534" s="9">
        <f>IF($H534="","",IFERROR(INDEX('Settings'!$J$10:$J$39,MATCH($H534,'Settings'!$I$10:$I$39,0)),""))</f>
        <v/>
      </c>
      <c r="J534" s="6" t="n">
        <v>1</v>
      </c>
      <c r="K534" s="8" t="n">
        <v>1500</v>
      </c>
      <c r="L534" s="8" t="n"/>
      <c r="M534" s="14">
        <f>IF($A534="","",$J534*$K534)</f>
        <v/>
      </c>
      <c r="N534" s="14">
        <f>IF($A534="","",$M534-$L534)</f>
        <v/>
      </c>
      <c r="O534" s="4" t="inlineStr">
        <is>
          <t>Payment link</t>
        </is>
      </c>
      <c r="P534" s="15">
        <f>IF($A534="","",DATE(YEAR($A534),MONTH($A534),1))</f>
        <v/>
      </c>
      <c r="Q534" s="16">
        <f>IF($H534="","",$J534*IFERROR(INDEX('Settings'!$L$10:$L$39,MATCH($H534,'Settings'!$I$10:$I$39,0)),0))</f>
        <v/>
      </c>
      <c r="R534" s="17">
        <f>IF($A534="","",$A534-WEEKDAY($A534,2)+1)</f>
        <v/>
      </c>
    </row>
    <row r="535">
      <c r="A535" s="5" t="n">
        <v>46249</v>
      </c>
      <c r="B535" s="4" t="inlineStr">
        <is>
          <t>Main branch</t>
        </is>
      </c>
      <c r="C535" s="4" t="inlineStr">
        <is>
          <t>Main 3</t>
        </is>
      </c>
      <c r="D535" s="4" t="inlineStr">
        <is>
          <t>Dr Sara Al Harbi</t>
        </is>
      </c>
      <c r="E535" s="4" t="inlineStr">
        <is>
          <t>P-2845</t>
        </is>
      </c>
      <c r="F535" s="4" t="inlineStr">
        <is>
          <t>Returning</t>
        </is>
      </c>
      <c r="G535" s="4" t="inlineStr">
        <is>
          <t>Walk-in</t>
        </is>
      </c>
      <c r="H535" s="4" t="inlineStr">
        <is>
          <t>Laser session, face</t>
        </is>
      </c>
      <c r="I535" s="9">
        <f>IF($H535="","",IFERROR(INDEX('Settings'!$J$10:$J$39,MATCH($H535,'Settings'!$I$10:$I$39,0)),""))</f>
        <v/>
      </c>
      <c r="J535" s="6" t="n">
        <v>1</v>
      </c>
      <c r="K535" s="8" t="n">
        <v>600</v>
      </c>
      <c r="L535" s="8" t="n"/>
      <c r="M535" s="14">
        <f>IF($A535="","",$J535*$K535)</f>
        <v/>
      </c>
      <c r="N535" s="14">
        <f>IF($A535="","",$M535-$L535)</f>
        <v/>
      </c>
      <c r="O535" s="4" t="inlineStr">
        <is>
          <t>Card</t>
        </is>
      </c>
      <c r="P535" s="15">
        <f>IF($A535="","",DATE(YEAR($A535),MONTH($A535),1))</f>
        <v/>
      </c>
      <c r="Q535" s="16">
        <f>IF($H535="","",$J535*IFERROR(INDEX('Settings'!$L$10:$L$39,MATCH($H535,'Settings'!$I$10:$I$39,0)),0))</f>
        <v/>
      </c>
      <c r="R535" s="17">
        <f>IF($A535="","",$A535-WEEKDAY($A535,2)+1)</f>
        <v/>
      </c>
    </row>
    <row r="536">
      <c r="A536" s="5" t="n">
        <v>46249</v>
      </c>
      <c r="B536" s="4" t="inlineStr">
        <is>
          <t>Main branch</t>
        </is>
      </c>
      <c r="C536" s="4" t="inlineStr">
        <is>
          <t>Main 4</t>
        </is>
      </c>
      <c r="D536" s="4" t="inlineStr">
        <is>
          <t>Dr Ahmed Mansour</t>
        </is>
      </c>
      <c r="E536" s="4" t="inlineStr">
        <is>
          <t>P-2342</t>
        </is>
      </c>
      <c r="F536" s="4" t="inlineStr">
        <is>
          <t>Returning</t>
        </is>
      </c>
      <c r="G536" s="4" t="inlineStr">
        <is>
          <t>Instagram</t>
        </is>
      </c>
      <c r="H536" s="4" t="inlineStr">
        <is>
          <t>Physiotherapy session</t>
        </is>
      </c>
      <c r="I536" s="9">
        <f>IF($H536="","",IFERROR(INDEX('Settings'!$J$10:$J$39,MATCH($H536,'Settings'!$I$10:$I$39,0)),""))</f>
        <v/>
      </c>
      <c r="J536" s="6" t="n">
        <v>1</v>
      </c>
      <c r="K536" s="8" t="n">
        <v>300</v>
      </c>
      <c r="L536" s="8" t="n"/>
      <c r="M536" s="14">
        <f>IF($A536="","",$J536*$K536)</f>
        <v/>
      </c>
      <c r="N536" s="14">
        <f>IF($A536="","",$M536-$L536)</f>
        <v/>
      </c>
      <c r="O536" s="4" t="inlineStr">
        <is>
          <t>Card</t>
        </is>
      </c>
      <c r="P536" s="15">
        <f>IF($A536="","",DATE(YEAR($A536),MONTH($A536),1))</f>
        <v/>
      </c>
      <c r="Q536" s="16">
        <f>IF($H536="","",$J536*IFERROR(INDEX('Settings'!$L$10:$L$39,MATCH($H536,'Settings'!$I$10:$I$39,0)),0))</f>
        <v/>
      </c>
      <c r="R536" s="17">
        <f>IF($A536="","",$A536-WEEKDAY($A536,2)+1)</f>
        <v/>
      </c>
    </row>
    <row r="537">
      <c r="A537" s="5" t="n">
        <v>46249</v>
      </c>
      <c r="B537" s="4" t="inlineStr">
        <is>
          <t>Main branch</t>
        </is>
      </c>
      <c r="C537" s="4" t="inlineStr">
        <is>
          <t>Main 4</t>
        </is>
      </c>
      <c r="D537" s="4" t="inlineStr">
        <is>
          <t>Dr Sara Al Harbi</t>
        </is>
      </c>
      <c r="E537" s="4" t="inlineStr">
        <is>
          <t>P-3054</t>
        </is>
      </c>
      <c r="F537" s="4" t="inlineStr">
        <is>
          <t>Returning</t>
        </is>
      </c>
      <c r="G537" s="4" t="inlineStr">
        <is>
          <t>Google</t>
        </is>
      </c>
      <c r="H537" s="4" t="inlineStr">
        <is>
          <t>Specialist consultation</t>
        </is>
      </c>
      <c r="I537" s="9">
        <f>IF($H537="","",IFERROR(INDEX('Settings'!$J$10:$J$39,MATCH($H537,'Settings'!$I$10:$I$39,0)),""))</f>
        <v/>
      </c>
      <c r="J537" s="6" t="n">
        <v>1</v>
      </c>
      <c r="K537" s="8" t="n">
        <v>350</v>
      </c>
      <c r="L537" s="8" t="n"/>
      <c r="M537" s="14">
        <f>IF($A537="","",$J537*$K537)</f>
        <v/>
      </c>
      <c r="N537" s="14">
        <f>IF($A537="","",$M537-$L537)</f>
        <v/>
      </c>
      <c r="O537" s="4" t="inlineStr">
        <is>
          <t>Cash</t>
        </is>
      </c>
      <c r="P537" s="15">
        <f>IF($A537="","",DATE(YEAR($A537),MONTH($A537),1))</f>
        <v/>
      </c>
      <c r="Q537" s="16">
        <f>IF($H537="","",$J537*IFERROR(INDEX('Settings'!$L$10:$L$39,MATCH($H537,'Settings'!$I$10:$I$39,0)),0))</f>
        <v/>
      </c>
      <c r="R537" s="17">
        <f>IF($A537="","",$A537-WEEKDAY($A537,2)+1)</f>
        <v/>
      </c>
    </row>
    <row r="538">
      <c r="A538" s="5" t="n">
        <v>46249</v>
      </c>
      <c r="B538" s="4" t="inlineStr">
        <is>
          <t>North branch</t>
        </is>
      </c>
      <c r="C538" s="4" t="inlineStr">
        <is>
          <t>North 1</t>
        </is>
      </c>
      <c r="D538" s="4" t="inlineStr">
        <is>
          <t>Dr Khaled Youssef</t>
        </is>
      </c>
      <c r="E538" s="4" t="inlineStr">
        <is>
          <t>P-2216</t>
        </is>
      </c>
      <c r="F538" s="4" t="inlineStr">
        <is>
          <t>Returning</t>
        </is>
      </c>
      <c r="G538" s="4" t="inlineStr">
        <is>
          <t>WhatsApp</t>
        </is>
      </c>
      <c r="H538" s="4" t="inlineStr">
        <is>
          <t>Specialist consultation</t>
        </is>
      </c>
      <c r="I538" s="9">
        <f>IF($H538="","",IFERROR(INDEX('Settings'!$J$10:$J$39,MATCH($H538,'Settings'!$I$10:$I$39,0)),""))</f>
        <v/>
      </c>
      <c r="J538" s="6" t="n">
        <v>1</v>
      </c>
      <c r="K538" s="8" t="n">
        <v>350</v>
      </c>
      <c r="L538" s="8" t="n"/>
      <c r="M538" s="14">
        <f>IF($A538="","",$J538*$K538)</f>
        <v/>
      </c>
      <c r="N538" s="14">
        <f>IF($A538="","",$M538-$L538)</f>
        <v/>
      </c>
      <c r="O538" s="4" t="inlineStr">
        <is>
          <t>Card</t>
        </is>
      </c>
      <c r="P538" s="15">
        <f>IF($A538="","",DATE(YEAR($A538),MONTH($A538),1))</f>
        <v/>
      </c>
      <c r="Q538" s="16">
        <f>IF($H538="","",$J538*IFERROR(INDEX('Settings'!$L$10:$L$39,MATCH($H538,'Settings'!$I$10:$I$39,0)),0))</f>
        <v/>
      </c>
      <c r="R538" s="17">
        <f>IF($A538="","",$A538-WEEKDAY($A538,2)+1)</f>
        <v/>
      </c>
    </row>
    <row r="539">
      <c r="A539" s="5" t="n">
        <v>46249</v>
      </c>
      <c r="B539" s="4" t="inlineStr">
        <is>
          <t>North branch</t>
        </is>
      </c>
      <c r="C539" s="4" t="inlineStr">
        <is>
          <t>North 1</t>
        </is>
      </c>
      <c r="D539" s="4" t="inlineStr">
        <is>
          <t>Dr Mohamed Adel</t>
        </is>
      </c>
      <c r="E539" s="4" t="inlineStr">
        <is>
          <t>P-3452</t>
        </is>
      </c>
      <c r="F539" s="4" t="inlineStr">
        <is>
          <t>Returning</t>
        </is>
      </c>
      <c r="G539" s="4" t="inlineStr">
        <is>
          <t>WhatsApp</t>
        </is>
      </c>
      <c r="H539" s="4" t="inlineStr">
        <is>
          <t>Botulinum toxin</t>
        </is>
      </c>
      <c r="I539" s="9">
        <f>IF($H539="","",IFERROR(INDEX('Settings'!$J$10:$J$39,MATCH($H539,'Settings'!$I$10:$I$39,0)),""))</f>
        <v/>
      </c>
      <c r="J539" s="6" t="n">
        <v>1</v>
      </c>
      <c r="K539" s="8" t="n">
        <v>1500</v>
      </c>
      <c r="L539" s="8" t="n"/>
      <c r="M539" s="14">
        <f>IF($A539="","",$J539*$K539)</f>
        <v/>
      </c>
      <c r="N539" s="14">
        <f>IF($A539="","",$M539-$L539)</f>
        <v/>
      </c>
      <c r="O539" s="4" t="inlineStr">
        <is>
          <t>Insurance</t>
        </is>
      </c>
      <c r="P539" s="15">
        <f>IF($A539="","",DATE(YEAR($A539),MONTH($A539),1))</f>
        <v/>
      </c>
      <c r="Q539" s="16">
        <f>IF($H539="","",$J539*IFERROR(INDEX('Settings'!$L$10:$L$39,MATCH($H539,'Settings'!$I$10:$I$39,0)),0))</f>
        <v/>
      </c>
      <c r="R539" s="17">
        <f>IF($A539="","",$A539-WEEKDAY($A539,2)+1)</f>
        <v/>
      </c>
    </row>
    <row r="540">
      <c r="A540" s="5" t="n">
        <v>46249</v>
      </c>
      <c r="B540" s="4" t="inlineStr">
        <is>
          <t>North branch</t>
        </is>
      </c>
      <c r="C540" s="4" t="inlineStr">
        <is>
          <t>North 1</t>
        </is>
      </c>
      <c r="D540" s="4" t="inlineStr">
        <is>
          <t>Dr Mohamed Adel</t>
        </is>
      </c>
      <c r="E540" s="4" t="inlineStr">
        <is>
          <t>P-3229</t>
        </is>
      </c>
      <c r="F540" s="4" t="inlineStr">
        <is>
          <t>Returning</t>
        </is>
      </c>
      <c r="G540" s="4" t="inlineStr">
        <is>
          <t>Instagram</t>
        </is>
      </c>
      <c r="H540" s="4" t="inlineStr">
        <is>
          <t>Follow-up visit</t>
        </is>
      </c>
      <c r="I540" s="9">
        <f>IF($H540="","",IFERROR(INDEX('Settings'!$J$10:$J$39,MATCH($H540,'Settings'!$I$10:$I$39,0)),""))</f>
        <v/>
      </c>
      <c r="J540" s="6" t="n">
        <v>1</v>
      </c>
      <c r="K540" s="8" t="n">
        <v>150</v>
      </c>
      <c r="L540" s="8" t="n"/>
      <c r="M540" s="14">
        <f>IF($A540="","",$J540*$K540)</f>
        <v/>
      </c>
      <c r="N540" s="14">
        <f>IF($A540="","",$M540-$L540)</f>
        <v/>
      </c>
      <c r="O540" s="4" t="inlineStr">
        <is>
          <t>Card</t>
        </is>
      </c>
      <c r="P540" s="15">
        <f>IF($A540="","",DATE(YEAR($A540),MONTH($A540),1))</f>
        <v/>
      </c>
      <c r="Q540" s="16">
        <f>IF($H540="","",$J540*IFERROR(INDEX('Settings'!$L$10:$L$39,MATCH($H540,'Settings'!$I$10:$I$39,0)),0))</f>
        <v/>
      </c>
      <c r="R540" s="17">
        <f>IF($A540="","",$A540-WEEKDAY($A540,2)+1)</f>
        <v/>
      </c>
    </row>
    <row r="541">
      <c r="A541" s="5" t="n">
        <v>46249</v>
      </c>
      <c r="B541" s="4" t="inlineStr">
        <is>
          <t>North branch</t>
        </is>
      </c>
      <c r="C541" s="4" t="inlineStr">
        <is>
          <t>North 2</t>
        </is>
      </c>
      <c r="D541" s="4" t="inlineStr">
        <is>
          <t>Dr Layla Al Qahtani</t>
        </is>
      </c>
      <c r="E541" s="4" t="inlineStr">
        <is>
          <t>P-3255</t>
        </is>
      </c>
      <c r="F541" s="4" t="inlineStr">
        <is>
          <t>Returning</t>
        </is>
      </c>
      <c r="G541" s="4" t="inlineStr">
        <is>
          <t>Referral</t>
        </is>
      </c>
      <c r="H541" s="4" t="inlineStr">
        <is>
          <t>Specialist consultation</t>
        </is>
      </c>
      <c r="I541" s="9">
        <f>IF($H541="","",IFERROR(INDEX('Settings'!$J$10:$J$39,MATCH($H541,'Settings'!$I$10:$I$39,0)),""))</f>
        <v/>
      </c>
      <c r="J541" s="6" t="n">
        <v>1</v>
      </c>
      <c r="K541" s="8" t="n">
        <v>350</v>
      </c>
      <c r="L541" s="8" t="n"/>
      <c r="M541" s="14">
        <f>IF($A541="","",$J541*$K541)</f>
        <v/>
      </c>
      <c r="N541" s="14">
        <f>IF($A541="","",$M541-$L541)</f>
        <v/>
      </c>
      <c r="O541" s="4" t="inlineStr">
        <is>
          <t>Insurance</t>
        </is>
      </c>
      <c r="P541" s="15">
        <f>IF($A541="","",DATE(YEAR($A541),MONTH($A541),1))</f>
        <v/>
      </c>
      <c r="Q541" s="16">
        <f>IF($H541="","",$J541*IFERROR(INDEX('Settings'!$L$10:$L$39,MATCH($H541,'Settings'!$I$10:$I$39,0)),0))</f>
        <v/>
      </c>
      <c r="R541" s="17">
        <f>IF($A541="","",$A541-WEEKDAY($A541,2)+1)</f>
        <v/>
      </c>
    </row>
    <row r="542">
      <c r="A542" s="5" t="n">
        <v>46249</v>
      </c>
      <c r="B542" s="4" t="inlineStr">
        <is>
          <t>North branch</t>
        </is>
      </c>
      <c r="C542" s="4" t="inlineStr">
        <is>
          <t>North 2</t>
        </is>
      </c>
      <c r="D542" s="4" t="inlineStr">
        <is>
          <t>Dr Khaled Youssef</t>
        </is>
      </c>
      <c r="E542" s="4" t="inlineStr">
        <is>
          <t>P-3127</t>
        </is>
      </c>
      <c r="F542" s="4" t="inlineStr">
        <is>
          <t>New</t>
        </is>
      </c>
      <c r="G542" s="4" t="inlineStr">
        <is>
          <t>Instagram</t>
        </is>
      </c>
      <c r="H542" s="4" t="inlineStr">
        <is>
          <t>Facial cleansing</t>
        </is>
      </c>
      <c r="I542" s="9">
        <f>IF($H542="","",IFERROR(INDEX('Settings'!$J$10:$J$39,MATCH($H542,'Settings'!$I$10:$I$39,0)),""))</f>
        <v/>
      </c>
      <c r="J542" s="6" t="n">
        <v>1</v>
      </c>
      <c r="K542" s="8" t="n">
        <v>400</v>
      </c>
      <c r="L542" s="8" t="n"/>
      <c r="M542" s="14">
        <f>IF($A542="","",$J542*$K542)</f>
        <v/>
      </c>
      <c r="N542" s="14">
        <f>IF($A542="","",$M542-$L542)</f>
        <v/>
      </c>
      <c r="O542" s="4" t="inlineStr">
        <is>
          <t>Cash</t>
        </is>
      </c>
      <c r="P542" s="15">
        <f>IF($A542="","",DATE(YEAR($A542),MONTH($A542),1))</f>
        <v/>
      </c>
      <c r="Q542" s="16">
        <f>IF($H542="","",$J542*IFERROR(INDEX('Settings'!$L$10:$L$39,MATCH($H542,'Settings'!$I$10:$I$39,0)),0))</f>
        <v/>
      </c>
      <c r="R542" s="17">
        <f>IF($A542="","",$A542-WEEKDAY($A542,2)+1)</f>
        <v/>
      </c>
    </row>
    <row r="543">
      <c r="A543" s="5" t="n">
        <v>46249</v>
      </c>
      <c r="B543" s="4" t="inlineStr">
        <is>
          <t>North branch</t>
        </is>
      </c>
      <c r="C543" s="4" t="inlineStr">
        <is>
          <t>North 2</t>
        </is>
      </c>
      <c r="D543" s="4" t="inlineStr">
        <is>
          <t>Dr Mohamed Adel</t>
        </is>
      </c>
      <c r="E543" s="4" t="inlineStr">
        <is>
          <t>P-2656</t>
        </is>
      </c>
      <c r="F543" s="4" t="inlineStr">
        <is>
          <t>New</t>
        </is>
      </c>
      <c r="G543" s="4" t="inlineStr">
        <is>
          <t>Walk-in</t>
        </is>
      </c>
      <c r="H543" s="4" t="inlineStr">
        <is>
          <t>Laser session, face</t>
        </is>
      </c>
      <c r="I543" s="9">
        <f>IF($H543="","",IFERROR(INDEX('Settings'!$J$10:$J$39,MATCH($H543,'Settings'!$I$10:$I$39,0)),""))</f>
        <v/>
      </c>
      <c r="J543" s="6" t="n">
        <v>1</v>
      </c>
      <c r="K543" s="8" t="n">
        <v>600</v>
      </c>
      <c r="L543" s="8" t="n"/>
      <c r="M543" s="14">
        <f>IF($A543="","",$J543*$K543)</f>
        <v/>
      </c>
      <c r="N543" s="14">
        <f>IF($A543="","",$M543-$L543)</f>
        <v/>
      </c>
      <c r="O543" s="4" t="inlineStr">
        <is>
          <t>Card</t>
        </is>
      </c>
      <c r="P543" s="15">
        <f>IF($A543="","",DATE(YEAR($A543),MONTH($A543),1))</f>
        <v/>
      </c>
      <c r="Q543" s="16">
        <f>IF($H543="","",$J543*IFERROR(INDEX('Settings'!$L$10:$L$39,MATCH($H543,'Settings'!$I$10:$I$39,0)),0))</f>
        <v/>
      </c>
      <c r="R543" s="17">
        <f>IF($A543="","",$A543-WEEKDAY($A543,2)+1)</f>
        <v/>
      </c>
    </row>
    <row r="544">
      <c r="A544" s="5" t="n">
        <v>46249</v>
      </c>
      <c r="B544" s="4" t="inlineStr">
        <is>
          <t>North branch</t>
        </is>
      </c>
      <c r="C544" s="4" t="inlineStr">
        <is>
          <t>North 2</t>
        </is>
      </c>
      <c r="D544" s="4" t="inlineStr">
        <is>
          <t>Dr Khaled Youssef</t>
        </is>
      </c>
      <c r="E544" s="4" t="inlineStr">
        <is>
          <t>P-2755</t>
        </is>
      </c>
      <c r="F544" s="4" t="inlineStr">
        <is>
          <t>New</t>
        </is>
      </c>
      <c r="G544" s="4" t="inlineStr">
        <is>
          <t>Instagram</t>
        </is>
      </c>
      <c r="H544" s="4" t="inlineStr">
        <is>
          <t>Follow-up visit</t>
        </is>
      </c>
      <c r="I544" s="9">
        <f>IF($H544="","",IFERROR(INDEX('Settings'!$J$10:$J$39,MATCH($H544,'Settings'!$I$10:$I$39,0)),""))</f>
        <v/>
      </c>
      <c r="J544" s="6" t="n">
        <v>1</v>
      </c>
      <c r="K544" s="8" t="n">
        <v>150</v>
      </c>
      <c r="L544" s="8" t="n"/>
      <c r="M544" s="14">
        <f>IF($A544="","",$J544*$K544)</f>
        <v/>
      </c>
      <c r="N544" s="14">
        <f>IF($A544="","",$M544-$L544)</f>
        <v/>
      </c>
      <c r="O544" s="4" t="inlineStr">
        <is>
          <t>Cash</t>
        </is>
      </c>
      <c r="P544" s="15">
        <f>IF($A544="","",DATE(YEAR($A544),MONTH($A544),1))</f>
        <v/>
      </c>
      <c r="Q544" s="16">
        <f>IF($H544="","",$J544*IFERROR(INDEX('Settings'!$L$10:$L$39,MATCH($H544,'Settings'!$I$10:$I$39,0)),0))</f>
        <v/>
      </c>
      <c r="R544" s="17">
        <f>IF($A544="","",$A544-WEEKDAY($A544,2)+1)</f>
        <v/>
      </c>
    </row>
    <row r="545">
      <c r="A545" s="5" t="n">
        <v>46250</v>
      </c>
      <c r="B545" s="4" t="inlineStr">
        <is>
          <t>Main branch</t>
        </is>
      </c>
      <c r="C545" s="4" t="inlineStr">
        <is>
          <t>Main 1</t>
        </is>
      </c>
      <c r="D545" s="4" t="inlineStr">
        <is>
          <t>Dr Noura Al Subaie</t>
        </is>
      </c>
      <c r="E545" s="4" t="inlineStr">
        <is>
          <t>P-2825</t>
        </is>
      </c>
      <c r="F545" s="4" t="inlineStr">
        <is>
          <t>Returning</t>
        </is>
      </c>
      <c r="G545" s="4" t="inlineStr">
        <is>
          <t>Walk-in</t>
        </is>
      </c>
      <c r="H545" s="4" t="inlineStr">
        <is>
          <t>Laser session, face</t>
        </is>
      </c>
      <c r="I545" s="9">
        <f>IF($H545="","",IFERROR(INDEX('Settings'!$J$10:$J$39,MATCH($H545,'Settings'!$I$10:$I$39,0)),""))</f>
        <v/>
      </c>
      <c r="J545" s="6" t="n">
        <v>1</v>
      </c>
      <c r="K545" s="8" t="n">
        <v>600</v>
      </c>
      <c r="L545" s="8" t="n"/>
      <c r="M545" s="14">
        <f>IF($A545="","",$J545*$K545)</f>
        <v/>
      </c>
      <c r="N545" s="14">
        <f>IF($A545="","",$M545-$L545)</f>
        <v/>
      </c>
      <c r="O545" s="4" t="inlineStr">
        <is>
          <t>Card</t>
        </is>
      </c>
      <c r="P545" s="15">
        <f>IF($A545="","",DATE(YEAR($A545),MONTH($A545),1))</f>
        <v/>
      </c>
      <c r="Q545" s="16">
        <f>IF($H545="","",$J545*IFERROR(INDEX('Settings'!$L$10:$L$39,MATCH($H545,'Settings'!$I$10:$I$39,0)),0))</f>
        <v/>
      </c>
      <c r="R545" s="17">
        <f>IF($A545="","",$A545-WEEKDAY($A545,2)+1)</f>
        <v/>
      </c>
    </row>
    <row r="546">
      <c r="A546" s="5" t="n">
        <v>46250</v>
      </c>
      <c r="B546" s="4" t="inlineStr">
        <is>
          <t>Main branch</t>
        </is>
      </c>
      <c r="C546" s="4" t="inlineStr">
        <is>
          <t>Main 2</t>
        </is>
      </c>
      <c r="D546" s="4" t="inlineStr">
        <is>
          <t>Dr Ahmed Mansour</t>
        </is>
      </c>
      <c r="E546" s="4" t="inlineStr">
        <is>
          <t>P-2483</t>
        </is>
      </c>
      <c r="F546" s="4" t="inlineStr">
        <is>
          <t>Returning</t>
        </is>
      </c>
      <c r="G546" s="4" t="inlineStr">
        <is>
          <t>WhatsApp</t>
        </is>
      </c>
      <c r="H546" s="4" t="inlineStr">
        <is>
          <t>Physiotherapy session</t>
        </is>
      </c>
      <c r="I546" s="9">
        <f>IF($H546="","",IFERROR(INDEX('Settings'!$J$10:$J$39,MATCH($H546,'Settings'!$I$10:$I$39,0)),""))</f>
        <v/>
      </c>
      <c r="J546" s="6" t="n">
        <v>1</v>
      </c>
      <c r="K546" s="8" t="n">
        <v>300</v>
      </c>
      <c r="L546" s="8" t="n"/>
      <c r="M546" s="14">
        <f>IF($A546="","",$J546*$K546)</f>
        <v/>
      </c>
      <c r="N546" s="14">
        <f>IF($A546="","",$M546-$L546)</f>
        <v/>
      </c>
      <c r="O546" s="4" t="inlineStr">
        <is>
          <t>Cash</t>
        </is>
      </c>
      <c r="P546" s="15">
        <f>IF($A546="","",DATE(YEAR($A546),MONTH($A546),1))</f>
        <v/>
      </c>
      <c r="Q546" s="16">
        <f>IF($H546="","",$J546*IFERROR(INDEX('Settings'!$L$10:$L$39,MATCH($H546,'Settings'!$I$10:$I$39,0)),0))</f>
        <v/>
      </c>
      <c r="R546" s="17">
        <f>IF($A546="","",$A546-WEEKDAY($A546,2)+1)</f>
        <v/>
      </c>
    </row>
    <row r="547">
      <c r="A547" s="5" t="n">
        <v>46250</v>
      </c>
      <c r="B547" s="4" t="inlineStr">
        <is>
          <t>Main branch</t>
        </is>
      </c>
      <c r="C547" s="4" t="inlineStr">
        <is>
          <t>Main 2</t>
        </is>
      </c>
      <c r="D547" s="4" t="inlineStr">
        <is>
          <t>Dr Sara Al Harbi</t>
        </is>
      </c>
      <c r="E547" s="4" t="inlineStr">
        <is>
          <t>P-2525</t>
        </is>
      </c>
      <c r="F547" s="4" t="inlineStr">
        <is>
          <t>Returning</t>
        </is>
      </c>
      <c r="G547" s="4" t="inlineStr">
        <is>
          <t>Instagram</t>
        </is>
      </c>
      <c r="H547" s="4" t="inlineStr">
        <is>
          <t>Vitamin C serum</t>
        </is>
      </c>
      <c r="I547" s="9">
        <f>IF($H547="","",IFERROR(INDEX('Settings'!$J$10:$J$39,MATCH($H547,'Settings'!$I$10:$I$39,0)),""))</f>
        <v/>
      </c>
      <c r="J547" s="6" t="n">
        <v>1</v>
      </c>
      <c r="K547" s="8" t="n">
        <v>220</v>
      </c>
      <c r="L547" s="8" t="n"/>
      <c r="M547" s="14">
        <f>IF($A547="","",$J547*$K547)</f>
        <v/>
      </c>
      <c r="N547" s="14">
        <f>IF($A547="","",$M547-$L547)</f>
        <v/>
      </c>
      <c r="O547" s="4" t="inlineStr">
        <is>
          <t>Transfer</t>
        </is>
      </c>
      <c r="P547" s="15">
        <f>IF($A547="","",DATE(YEAR($A547),MONTH($A547),1))</f>
        <v/>
      </c>
      <c r="Q547" s="16">
        <f>IF($H547="","",$J547*IFERROR(INDEX('Settings'!$L$10:$L$39,MATCH($H547,'Settings'!$I$10:$I$39,0)),0))</f>
        <v/>
      </c>
      <c r="R547" s="17">
        <f>IF($A547="","",$A547-WEEKDAY($A547,2)+1)</f>
        <v/>
      </c>
    </row>
    <row r="548">
      <c r="A548" s="5" t="n">
        <v>46250</v>
      </c>
      <c r="B548" s="4" t="inlineStr">
        <is>
          <t>Main branch</t>
        </is>
      </c>
      <c r="C548" s="4" t="inlineStr">
        <is>
          <t>Main 2</t>
        </is>
      </c>
      <c r="D548" s="4" t="inlineStr">
        <is>
          <t>Dr Sara Al Harbi</t>
        </is>
      </c>
      <c r="E548" s="4" t="inlineStr">
        <is>
          <t>P-2643</t>
        </is>
      </c>
      <c r="F548" s="4" t="inlineStr">
        <is>
          <t>Returning</t>
        </is>
      </c>
      <c r="G548" s="4" t="inlineStr">
        <is>
          <t>Walk-in</t>
        </is>
      </c>
      <c r="H548" s="4" t="inlineStr">
        <is>
          <t>Physiotherapy session</t>
        </is>
      </c>
      <c r="I548" s="9">
        <f>IF($H548="","",IFERROR(INDEX('Settings'!$J$10:$J$39,MATCH($H548,'Settings'!$I$10:$I$39,0)),""))</f>
        <v/>
      </c>
      <c r="J548" s="6" t="n">
        <v>1</v>
      </c>
      <c r="K548" s="8" t="n">
        <v>300</v>
      </c>
      <c r="L548" s="8" t="n"/>
      <c r="M548" s="14">
        <f>IF($A548="","",$J548*$K548)</f>
        <v/>
      </c>
      <c r="N548" s="14">
        <f>IF($A548="","",$M548-$L548)</f>
        <v/>
      </c>
      <c r="O548" s="4" t="inlineStr">
        <is>
          <t>Insurance</t>
        </is>
      </c>
      <c r="P548" s="15">
        <f>IF($A548="","",DATE(YEAR($A548),MONTH($A548),1))</f>
        <v/>
      </c>
      <c r="Q548" s="16">
        <f>IF($H548="","",$J548*IFERROR(INDEX('Settings'!$L$10:$L$39,MATCH($H548,'Settings'!$I$10:$I$39,0)),0))</f>
        <v/>
      </c>
      <c r="R548" s="17">
        <f>IF($A548="","",$A548-WEEKDAY($A548,2)+1)</f>
        <v/>
      </c>
    </row>
    <row r="549">
      <c r="A549" s="5" t="n">
        <v>46250</v>
      </c>
      <c r="B549" s="4" t="inlineStr">
        <is>
          <t>Main branch</t>
        </is>
      </c>
      <c r="C549" s="4" t="inlineStr">
        <is>
          <t>Main 2</t>
        </is>
      </c>
      <c r="D549" s="4" t="inlineStr">
        <is>
          <t>Dr Noura Al Subaie</t>
        </is>
      </c>
      <c r="E549" s="4" t="inlineStr">
        <is>
          <t>P-2254</t>
        </is>
      </c>
      <c r="F549" s="4" t="inlineStr">
        <is>
          <t>Returning</t>
        </is>
      </c>
      <c r="G549" s="4" t="inlineStr">
        <is>
          <t>Instagram</t>
        </is>
      </c>
      <c r="H549" s="4" t="inlineStr">
        <is>
          <t>Botulinum toxin</t>
        </is>
      </c>
      <c r="I549" s="9">
        <f>IF($H549="","",IFERROR(INDEX('Settings'!$J$10:$J$39,MATCH($H549,'Settings'!$I$10:$I$39,0)),""))</f>
        <v/>
      </c>
      <c r="J549" s="6" t="n">
        <v>1</v>
      </c>
      <c r="K549" s="8" t="n">
        <v>1500</v>
      </c>
      <c r="L549" s="8" t="n">
        <v>220</v>
      </c>
      <c r="M549" s="14">
        <f>IF($A549="","",$J549*$K549)</f>
        <v/>
      </c>
      <c r="N549" s="14">
        <f>IF($A549="","",$M549-$L549)</f>
        <v/>
      </c>
      <c r="O549" s="4" t="inlineStr">
        <is>
          <t>Payment link</t>
        </is>
      </c>
      <c r="P549" s="15">
        <f>IF($A549="","",DATE(YEAR($A549),MONTH($A549),1))</f>
        <v/>
      </c>
      <c r="Q549" s="16">
        <f>IF($H549="","",$J549*IFERROR(INDEX('Settings'!$L$10:$L$39,MATCH($H549,'Settings'!$I$10:$I$39,0)),0))</f>
        <v/>
      </c>
      <c r="R549" s="17">
        <f>IF($A549="","",$A549-WEEKDAY($A549,2)+1)</f>
        <v/>
      </c>
    </row>
    <row r="550">
      <c r="A550" s="5" t="n">
        <v>46250</v>
      </c>
      <c r="B550" s="4" t="inlineStr">
        <is>
          <t>Main branch</t>
        </is>
      </c>
      <c r="C550" s="4" t="inlineStr">
        <is>
          <t>Main 3</t>
        </is>
      </c>
      <c r="D550" s="4" t="inlineStr">
        <is>
          <t>Dr Ahmed Mansour</t>
        </is>
      </c>
      <c r="E550" s="4" t="inlineStr">
        <is>
          <t>P-3068</t>
        </is>
      </c>
      <c r="F550" s="4" t="inlineStr">
        <is>
          <t>New</t>
        </is>
      </c>
      <c r="G550" s="4" t="inlineStr">
        <is>
          <t>Google</t>
        </is>
      </c>
      <c r="H550" s="4" t="inlineStr">
        <is>
          <t>Follow-up visit</t>
        </is>
      </c>
      <c r="I550" s="9">
        <f>IF($H550="","",IFERROR(INDEX('Settings'!$J$10:$J$39,MATCH($H550,'Settings'!$I$10:$I$39,0)),""))</f>
        <v/>
      </c>
      <c r="J550" s="6" t="n">
        <v>1</v>
      </c>
      <c r="K550" s="8" t="n">
        <v>150</v>
      </c>
      <c r="L550" s="8" t="n"/>
      <c r="M550" s="14">
        <f>IF($A550="","",$J550*$K550)</f>
        <v/>
      </c>
      <c r="N550" s="14">
        <f>IF($A550="","",$M550-$L550)</f>
        <v/>
      </c>
      <c r="O550" s="4" t="inlineStr">
        <is>
          <t>Insurance</t>
        </is>
      </c>
      <c r="P550" s="15">
        <f>IF($A550="","",DATE(YEAR($A550),MONTH($A550),1))</f>
        <v/>
      </c>
      <c r="Q550" s="16">
        <f>IF($H550="","",$J550*IFERROR(INDEX('Settings'!$L$10:$L$39,MATCH($H550,'Settings'!$I$10:$I$39,0)),0))</f>
        <v/>
      </c>
      <c r="R550" s="17">
        <f>IF($A550="","",$A550-WEEKDAY($A550,2)+1)</f>
        <v/>
      </c>
    </row>
    <row r="551">
      <c r="A551" s="5" t="n">
        <v>46250</v>
      </c>
      <c r="B551" s="4" t="inlineStr">
        <is>
          <t>Main branch</t>
        </is>
      </c>
      <c r="C551" s="4" t="inlineStr">
        <is>
          <t>Main 4</t>
        </is>
      </c>
      <c r="D551" s="4" t="inlineStr">
        <is>
          <t>Dr Sara Al Harbi</t>
        </is>
      </c>
      <c r="E551" s="4" t="inlineStr">
        <is>
          <t>P-2394</t>
        </is>
      </c>
      <c r="F551" s="4" t="inlineStr">
        <is>
          <t>Returning</t>
        </is>
      </c>
      <c r="G551" s="4" t="inlineStr">
        <is>
          <t>Walk-in</t>
        </is>
      </c>
      <c r="H551" s="4" t="inlineStr">
        <is>
          <t>Physiotherapy session</t>
        </is>
      </c>
      <c r="I551" s="9">
        <f>IF($H551="","",IFERROR(INDEX('Settings'!$J$10:$J$39,MATCH($H551,'Settings'!$I$10:$I$39,0)),""))</f>
        <v/>
      </c>
      <c r="J551" s="6" t="n">
        <v>1</v>
      </c>
      <c r="K551" s="8" t="n">
        <v>300</v>
      </c>
      <c r="L551" s="8" t="n"/>
      <c r="M551" s="14">
        <f>IF($A551="","",$J551*$K551)</f>
        <v/>
      </c>
      <c r="N551" s="14">
        <f>IF($A551="","",$M551-$L551)</f>
        <v/>
      </c>
      <c r="O551" s="4" t="inlineStr">
        <is>
          <t>Card</t>
        </is>
      </c>
      <c r="P551" s="15">
        <f>IF($A551="","",DATE(YEAR($A551),MONTH($A551),1))</f>
        <v/>
      </c>
      <c r="Q551" s="16">
        <f>IF($H551="","",$J551*IFERROR(INDEX('Settings'!$L$10:$L$39,MATCH($H551,'Settings'!$I$10:$I$39,0)),0))</f>
        <v/>
      </c>
      <c r="R551" s="17">
        <f>IF($A551="","",$A551-WEEKDAY($A551,2)+1)</f>
        <v/>
      </c>
    </row>
    <row r="552">
      <c r="A552" s="5" t="n">
        <v>46250</v>
      </c>
      <c r="B552" s="4" t="inlineStr">
        <is>
          <t>North branch</t>
        </is>
      </c>
      <c r="C552" s="4" t="inlineStr">
        <is>
          <t>North 2</t>
        </is>
      </c>
      <c r="D552" s="4" t="inlineStr">
        <is>
          <t>Dr Layla Al Qahtani</t>
        </is>
      </c>
      <c r="E552" s="4" t="inlineStr">
        <is>
          <t>P-2759</t>
        </is>
      </c>
      <c r="F552" s="4" t="inlineStr">
        <is>
          <t>New</t>
        </is>
      </c>
      <c r="G552" s="4" t="inlineStr">
        <is>
          <t>Instagram</t>
        </is>
      </c>
      <c r="H552" s="4" t="inlineStr">
        <is>
          <t>Laser session, body</t>
        </is>
      </c>
      <c r="I552" s="9">
        <f>IF($H552="","",IFERROR(INDEX('Settings'!$J$10:$J$39,MATCH($H552,'Settings'!$I$10:$I$39,0)),""))</f>
        <v/>
      </c>
      <c r="J552" s="6" t="n">
        <v>1</v>
      </c>
      <c r="K552" s="8" t="n">
        <v>1200</v>
      </c>
      <c r="L552" s="8" t="n"/>
      <c r="M552" s="14">
        <f>IF($A552="","",$J552*$K552)</f>
        <v/>
      </c>
      <c r="N552" s="14">
        <f>IF($A552="","",$M552-$L552)</f>
        <v/>
      </c>
      <c r="O552" s="4" t="inlineStr">
        <is>
          <t>Cash</t>
        </is>
      </c>
      <c r="P552" s="15">
        <f>IF($A552="","",DATE(YEAR($A552),MONTH($A552),1))</f>
        <v/>
      </c>
      <c r="Q552" s="16">
        <f>IF($H552="","",$J552*IFERROR(INDEX('Settings'!$L$10:$L$39,MATCH($H552,'Settings'!$I$10:$I$39,0)),0))</f>
        <v/>
      </c>
      <c r="R552" s="17">
        <f>IF($A552="","",$A552-WEEKDAY($A552,2)+1)</f>
        <v/>
      </c>
    </row>
    <row r="553">
      <c r="A553" s="5" t="n">
        <v>46250</v>
      </c>
      <c r="B553" s="4" t="inlineStr">
        <is>
          <t>North branch</t>
        </is>
      </c>
      <c r="C553" s="4" t="inlineStr">
        <is>
          <t>North 2</t>
        </is>
      </c>
      <c r="D553" s="4" t="inlineStr">
        <is>
          <t>Dr Khaled Youssef</t>
        </is>
      </c>
      <c r="E553" s="4" t="inlineStr">
        <is>
          <t>P-2424</t>
        </is>
      </c>
      <c r="F553" s="4" t="inlineStr">
        <is>
          <t>Returning</t>
        </is>
      </c>
      <c r="G553" s="4" t="inlineStr">
        <is>
          <t>Walk-in</t>
        </is>
      </c>
      <c r="H553" s="4" t="inlineStr">
        <is>
          <t>Facial cleansing</t>
        </is>
      </c>
      <c r="I553" s="9">
        <f>IF($H553="","",IFERROR(INDEX('Settings'!$J$10:$J$39,MATCH($H553,'Settings'!$I$10:$I$39,0)),""))</f>
        <v/>
      </c>
      <c r="J553" s="6" t="n">
        <v>1</v>
      </c>
      <c r="K553" s="8" t="n">
        <v>400</v>
      </c>
      <c r="L553" s="8" t="n">
        <v>20</v>
      </c>
      <c r="M553" s="14">
        <f>IF($A553="","",$J553*$K553)</f>
        <v/>
      </c>
      <c r="N553" s="14">
        <f>IF($A553="","",$M553-$L553)</f>
        <v/>
      </c>
      <c r="O553" s="4" t="inlineStr">
        <is>
          <t>Cash</t>
        </is>
      </c>
      <c r="P553" s="15">
        <f>IF($A553="","",DATE(YEAR($A553),MONTH($A553),1))</f>
        <v/>
      </c>
      <c r="Q553" s="16">
        <f>IF($H553="","",$J553*IFERROR(INDEX('Settings'!$L$10:$L$39,MATCH($H553,'Settings'!$I$10:$I$39,0)),0))</f>
        <v/>
      </c>
      <c r="R553" s="17">
        <f>IF($A553="","",$A553-WEEKDAY($A553,2)+1)</f>
        <v/>
      </c>
    </row>
    <row r="554">
      <c r="A554" s="5" t="n">
        <v>46250</v>
      </c>
      <c r="B554" s="4" t="inlineStr">
        <is>
          <t>North branch</t>
        </is>
      </c>
      <c r="C554" s="4" t="inlineStr">
        <is>
          <t>North 2</t>
        </is>
      </c>
      <c r="D554" s="4" t="inlineStr">
        <is>
          <t>Dr Mohamed Adel</t>
        </is>
      </c>
      <c r="E554" s="4" t="inlineStr">
        <is>
          <t>P-2834</t>
        </is>
      </c>
      <c r="F554" s="4" t="inlineStr">
        <is>
          <t>Returning</t>
        </is>
      </c>
      <c r="G554" s="4" t="inlineStr">
        <is>
          <t>Referral</t>
        </is>
      </c>
      <c r="H554" s="4" t="inlineStr">
        <is>
          <t>Laser session, face</t>
        </is>
      </c>
      <c r="I554" s="9">
        <f>IF($H554="","",IFERROR(INDEX('Settings'!$J$10:$J$39,MATCH($H554,'Settings'!$I$10:$I$39,0)),""))</f>
        <v/>
      </c>
      <c r="J554" s="6" t="n">
        <v>1</v>
      </c>
      <c r="K554" s="8" t="n">
        <v>600</v>
      </c>
      <c r="L554" s="8" t="n"/>
      <c r="M554" s="14">
        <f>IF($A554="","",$J554*$K554)</f>
        <v/>
      </c>
      <c r="N554" s="14">
        <f>IF($A554="","",$M554-$L554)</f>
        <v/>
      </c>
      <c r="O554" s="4" t="inlineStr">
        <is>
          <t>Card</t>
        </is>
      </c>
      <c r="P554" s="15">
        <f>IF($A554="","",DATE(YEAR($A554),MONTH($A554),1))</f>
        <v/>
      </c>
      <c r="Q554" s="16">
        <f>IF($H554="","",$J554*IFERROR(INDEX('Settings'!$L$10:$L$39,MATCH($H554,'Settings'!$I$10:$I$39,0)),0))</f>
        <v/>
      </c>
      <c r="R554" s="17">
        <f>IF($A554="","",$A554-WEEKDAY($A554,2)+1)</f>
        <v/>
      </c>
    </row>
    <row r="555">
      <c r="A555" s="5" t="n">
        <v>46250</v>
      </c>
      <c r="B555" s="4" t="inlineStr">
        <is>
          <t>North branch</t>
        </is>
      </c>
      <c r="C555" s="4" t="inlineStr">
        <is>
          <t>North 2</t>
        </is>
      </c>
      <c r="D555" s="4" t="inlineStr">
        <is>
          <t>Dr Khaled Youssef</t>
        </is>
      </c>
      <c r="E555" s="4" t="inlineStr">
        <is>
          <t>P-2611</t>
        </is>
      </c>
      <c r="F555" s="4" t="inlineStr">
        <is>
          <t>Returning</t>
        </is>
      </c>
      <c r="G555" s="4" t="inlineStr">
        <is>
          <t>Instagram</t>
        </is>
      </c>
      <c r="H555" s="4" t="inlineStr">
        <is>
          <t>Chemical peel</t>
        </is>
      </c>
      <c r="I555" s="9">
        <f>IF($H555="","",IFERROR(INDEX('Settings'!$J$10:$J$39,MATCH($H555,'Settings'!$I$10:$I$39,0)),""))</f>
        <v/>
      </c>
      <c r="J555" s="6" t="n">
        <v>1</v>
      </c>
      <c r="K555" s="8" t="n">
        <v>800</v>
      </c>
      <c r="L555" s="8" t="n">
        <v>120</v>
      </c>
      <c r="M555" s="14">
        <f>IF($A555="","",$J555*$K555)</f>
        <v/>
      </c>
      <c r="N555" s="14">
        <f>IF($A555="","",$M555-$L555)</f>
        <v/>
      </c>
      <c r="O555" s="4" t="inlineStr">
        <is>
          <t>Card</t>
        </is>
      </c>
      <c r="P555" s="15">
        <f>IF($A555="","",DATE(YEAR($A555),MONTH($A555),1))</f>
        <v/>
      </c>
      <c r="Q555" s="16">
        <f>IF($H555="","",$J555*IFERROR(INDEX('Settings'!$L$10:$L$39,MATCH($H555,'Settings'!$I$10:$I$39,0)),0))</f>
        <v/>
      </c>
      <c r="R555" s="17">
        <f>IF($A555="","",$A555-WEEKDAY($A555,2)+1)</f>
        <v/>
      </c>
    </row>
    <row r="556">
      <c r="A556" s="5" t="n">
        <v>46250</v>
      </c>
      <c r="B556" s="4" t="inlineStr">
        <is>
          <t>North branch</t>
        </is>
      </c>
      <c r="C556" s="4" t="inlineStr">
        <is>
          <t>North 2</t>
        </is>
      </c>
      <c r="D556" s="4" t="inlineStr">
        <is>
          <t>Dr Layla Al Qahtani</t>
        </is>
      </c>
      <c r="E556" s="4" t="inlineStr">
        <is>
          <t>P-2442</t>
        </is>
      </c>
      <c r="F556" s="4" t="inlineStr">
        <is>
          <t>Returning</t>
        </is>
      </c>
      <c r="G556" s="4" t="inlineStr">
        <is>
          <t>Google</t>
        </is>
      </c>
      <c r="H556" s="4" t="inlineStr">
        <is>
          <t>Laser session, face</t>
        </is>
      </c>
      <c r="I556" s="9">
        <f>IF($H556="","",IFERROR(INDEX('Settings'!$J$10:$J$39,MATCH($H556,'Settings'!$I$10:$I$39,0)),""))</f>
        <v/>
      </c>
      <c r="J556" s="6" t="n">
        <v>1</v>
      </c>
      <c r="K556" s="8" t="n">
        <v>600</v>
      </c>
      <c r="L556" s="8" t="n">
        <v>60</v>
      </c>
      <c r="M556" s="14">
        <f>IF($A556="","",$J556*$K556)</f>
        <v/>
      </c>
      <c r="N556" s="14">
        <f>IF($A556="","",$M556-$L556)</f>
        <v/>
      </c>
      <c r="O556" s="4" t="inlineStr">
        <is>
          <t>Card</t>
        </is>
      </c>
      <c r="P556" s="15">
        <f>IF($A556="","",DATE(YEAR($A556),MONTH($A556),1))</f>
        <v/>
      </c>
      <c r="Q556" s="16">
        <f>IF($H556="","",$J556*IFERROR(INDEX('Settings'!$L$10:$L$39,MATCH($H556,'Settings'!$I$10:$I$39,0)),0))</f>
        <v/>
      </c>
      <c r="R556" s="17">
        <f>IF($A556="","",$A556-WEEKDAY($A556,2)+1)</f>
        <v/>
      </c>
    </row>
    <row r="557">
      <c r="A557" s="5" t="n">
        <v>46250</v>
      </c>
      <c r="B557" s="4" t="inlineStr">
        <is>
          <t>North branch</t>
        </is>
      </c>
      <c r="C557" s="4" t="inlineStr">
        <is>
          <t>North 2</t>
        </is>
      </c>
      <c r="D557" s="4" t="inlineStr">
        <is>
          <t>Dr Khaled Youssef</t>
        </is>
      </c>
      <c r="E557" s="4" t="inlineStr">
        <is>
          <t>P-3431</t>
        </is>
      </c>
      <c r="F557" s="4" t="inlineStr">
        <is>
          <t>New</t>
        </is>
      </c>
      <c r="G557" s="4" t="inlineStr">
        <is>
          <t>Instagram</t>
        </is>
      </c>
      <c r="H557" s="4" t="inlineStr">
        <is>
          <t>Botulinum toxin</t>
        </is>
      </c>
      <c r="I557" s="9">
        <f>IF($H557="","",IFERROR(INDEX('Settings'!$J$10:$J$39,MATCH($H557,'Settings'!$I$10:$I$39,0)),""))</f>
        <v/>
      </c>
      <c r="J557" s="6" t="n">
        <v>1</v>
      </c>
      <c r="K557" s="8" t="n">
        <v>1500</v>
      </c>
      <c r="L557" s="8" t="n"/>
      <c r="M557" s="14">
        <f>IF($A557="","",$J557*$K557)</f>
        <v/>
      </c>
      <c r="N557" s="14">
        <f>IF($A557="","",$M557-$L557)</f>
        <v/>
      </c>
      <c r="O557" s="4" t="inlineStr">
        <is>
          <t>Payment link</t>
        </is>
      </c>
      <c r="P557" s="15">
        <f>IF($A557="","",DATE(YEAR($A557),MONTH($A557),1))</f>
        <v/>
      </c>
      <c r="Q557" s="16">
        <f>IF($H557="","",$J557*IFERROR(INDEX('Settings'!$L$10:$L$39,MATCH($H557,'Settings'!$I$10:$I$39,0)),0))</f>
        <v/>
      </c>
      <c r="R557" s="17">
        <f>IF($A557="","",$A557-WEEKDAY($A557,2)+1)</f>
        <v/>
      </c>
    </row>
    <row r="558">
      <c r="A558" s="5" t="n">
        <v>46250</v>
      </c>
      <c r="B558" s="4" t="inlineStr">
        <is>
          <t>North branch</t>
        </is>
      </c>
      <c r="C558" s="4" t="inlineStr">
        <is>
          <t>North 2</t>
        </is>
      </c>
      <c r="D558" s="4" t="inlineStr">
        <is>
          <t>Dr Mohamed Adel</t>
        </is>
      </c>
      <c r="E558" s="4" t="inlineStr">
        <is>
          <t>P-2711</t>
        </is>
      </c>
      <c r="F558" s="4" t="inlineStr">
        <is>
          <t>New</t>
        </is>
      </c>
      <c r="G558" s="4" t="inlineStr">
        <is>
          <t>Walk-in</t>
        </is>
      </c>
      <c r="H558" s="4" t="inlineStr">
        <is>
          <t>Physiotherapy session</t>
        </is>
      </c>
      <c r="I558" s="9">
        <f>IF($H558="","",IFERROR(INDEX('Settings'!$J$10:$J$39,MATCH($H558,'Settings'!$I$10:$I$39,0)),""))</f>
        <v/>
      </c>
      <c r="J558" s="6" t="n">
        <v>1</v>
      </c>
      <c r="K558" s="8" t="n">
        <v>300</v>
      </c>
      <c r="L558" s="8" t="n"/>
      <c r="M558" s="14">
        <f>IF($A558="","",$J558*$K558)</f>
        <v/>
      </c>
      <c r="N558" s="14">
        <f>IF($A558="","",$M558-$L558)</f>
        <v/>
      </c>
      <c r="O558" s="4" t="inlineStr">
        <is>
          <t>Insurance</t>
        </is>
      </c>
      <c r="P558" s="15">
        <f>IF($A558="","",DATE(YEAR($A558),MONTH($A558),1))</f>
        <v/>
      </c>
      <c r="Q558" s="16">
        <f>IF($H558="","",$J558*IFERROR(INDEX('Settings'!$L$10:$L$39,MATCH($H558,'Settings'!$I$10:$I$39,0)),0))</f>
        <v/>
      </c>
      <c r="R558" s="17">
        <f>IF($A558="","",$A558-WEEKDAY($A558,2)+1)</f>
        <v/>
      </c>
    </row>
    <row r="559">
      <c r="A559" s="5" t="n">
        <v>46250</v>
      </c>
      <c r="B559" s="4" t="inlineStr">
        <is>
          <t>North branch</t>
        </is>
      </c>
      <c r="C559" s="4" t="inlineStr">
        <is>
          <t>North 2</t>
        </is>
      </c>
      <c r="D559" s="4" t="inlineStr">
        <is>
          <t>Dr Layla Al Qahtani</t>
        </is>
      </c>
      <c r="E559" s="4" t="inlineStr">
        <is>
          <t>P-2568</t>
        </is>
      </c>
      <c r="F559" s="4" t="inlineStr">
        <is>
          <t>Returning</t>
        </is>
      </c>
      <c r="G559" s="4" t="inlineStr">
        <is>
          <t>Instagram</t>
        </is>
      </c>
      <c r="H559" s="4" t="inlineStr">
        <is>
          <t>Physiotherapy session</t>
        </is>
      </c>
      <c r="I559" s="9">
        <f>IF($H559="","",IFERROR(INDEX('Settings'!$J$10:$J$39,MATCH($H559,'Settings'!$I$10:$I$39,0)),""))</f>
        <v/>
      </c>
      <c r="J559" s="6" t="n">
        <v>1</v>
      </c>
      <c r="K559" s="8" t="n">
        <v>300</v>
      </c>
      <c r="L559" s="8" t="n"/>
      <c r="M559" s="14">
        <f>IF($A559="","",$J559*$K559)</f>
        <v/>
      </c>
      <c r="N559" s="14">
        <f>IF($A559="","",$M559-$L559)</f>
        <v/>
      </c>
      <c r="O559" s="4" t="inlineStr">
        <is>
          <t>Card</t>
        </is>
      </c>
      <c r="P559" s="15">
        <f>IF($A559="","",DATE(YEAR($A559),MONTH($A559),1))</f>
        <v/>
      </c>
      <c r="Q559" s="16">
        <f>IF($H559="","",$J559*IFERROR(INDEX('Settings'!$L$10:$L$39,MATCH($H559,'Settings'!$I$10:$I$39,0)),0))</f>
        <v/>
      </c>
      <c r="R559" s="17">
        <f>IF($A559="","",$A559-WEEKDAY($A559,2)+1)</f>
        <v/>
      </c>
    </row>
    <row r="560">
      <c r="A560" s="5" t="n">
        <v>46251</v>
      </c>
      <c r="B560" s="4" t="inlineStr">
        <is>
          <t>Main branch</t>
        </is>
      </c>
      <c r="C560" s="4" t="inlineStr">
        <is>
          <t>Main 1</t>
        </is>
      </c>
      <c r="D560" s="4" t="inlineStr">
        <is>
          <t>Dr Sara Al Harbi</t>
        </is>
      </c>
      <c r="E560" s="4" t="inlineStr">
        <is>
          <t>P-2836</t>
        </is>
      </c>
      <c r="F560" s="4" t="inlineStr">
        <is>
          <t>Returning</t>
        </is>
      </c>
      <c r="G560" s="4" t="inlineStr">
        <is>
          <t>Instagram</t>
        </is>
      </c>
      <c r="H560" s="4" t="inlineStr">
        <is>
          <t>Laser session, body</t>
        </is>
      </c>
      <c r="I560" s="9">
        <f>IF($H560="","",IFERROR(INDEX('Settings'!$J$10:$J$39,MATCH($H560,'Settings'!$I$10:$I$39,0)),""))</f>
        <v/>
      </c>
      <c r="J560" s="6" t="n">
        <v>1</v>
      </c>
      <c r="K560" s="8" t="n">
        <v>1200</v>
      </c>
      <c r="L560" s="8" t="n"/>
      <c r="M560" s="14">
        <f>IF($A560="","",$J560*$K560)</f>
        <v/>
      </c>
      <c r="N560" s="14">
        <f>IF($A560="","",$M560-$L560)</f>
        <v/>
      </c>
      <c r="O560" s="4" t="inlineStr">
        <is>
          <t>Cash</t>
        </is>
      </c>
      <c r="P560" s="15">
        <f>IF($A560="","",DATE(YEAR($A560),MONTH($A560),1))</f>
        <v/>
      </c>
      <c r="Q560" s="16">
        <f>IF($H560="","",$J560*IFERROR(INDEX('Settings'!$L$10:$L$39,MATCH($H560,'Settings'!$I$10:$I$39,0)),0))</f>
        <v/>
      </c>
      <c r="R560" s="17">
        <f>IF($A560="","",$A560-WEEKDAY($A560,2)+1)</f>
        <v/>
      </c>
    </row>
    <row r="561">
      <c r="A561" s="5" t="n">
        <v>46251</v>
      </c>
      <c r="B561" s="4" t="inlineStr">
        <is>
          <t>Main branch</t>
        </is>
      </c>
      <c r="C561" s="4" t="inlineStr">
        <is>
          <t>Main 2</t>
        </is>
      </c>
      <c r="D561" s="4" t="inlineStr">
        <is>
          <t>Dr Ahmed Mansour</t>
        </is>
      </c>
      <c r="E561" s="4" t="inlineStr">
        <is>
          <t>P-2721</t>
        </is>
      </c>
      <c r="F561" s="4" t="inlineStr">
        <is>
          <t>Returning</t>
        </is>
      </c>
      <c r="G561" s="4" t="inlineStr">
        <is>
          <t>Instagram</t>
        </is>
      </c>
      <c r="H561" s="4" t="inlineStr">
        <is>
          <t>Follow-up visit</t>
        </is>
      </c>
      <c r="I561" s="9">
        <f>IF($H561="","",IFERROR(INDEX('Settings'!$J$10:$J$39,MATCH($H561,'Settings'!$I$10:$I$39,0)),""))</f>
        <v/>
      </c>
      <c r="J561" s="6" t="n">
        <v>1</v>
      </c>
      <c r="K561" s="8" t="n">
        <v>150</v>
      </c>
      <c r="L561" s="8" t="n"/>
      <c r="M561" s="14">
        <f>IF($A561="","",$J561*$K561)</f>
        <v/>
      </c>
      <c r="N561" s="14">
        <f>IF($A561="","",$M561-$L561)</f>
        <v/>
      </c>
      <c r="O561" s="4" t="inlineStr">
        <is>
          <t>Card</t>
        </is>
      </c>
      <c r="P561" s="15">
        <f>IF($A561="","",DATE(YEAR($A561),MONTH($A561),1))</f>
        <v/>
      </c>
      <c r="Q561" s="16">
        <f>IF($H561="","",$J561*IFERROR(INDEX('Settings'!$L$10:$L$39,MATCH($H561,'Settings'!$I$10:$I$39,0)),0))</f>
        <v/>
      </c>
      <c r="R561" s="17">
        <f>IF($A561="","",$A561-WEEKDAY($A561,2)+1)</f>
        <v/>
      </c>
    </row>
    <row r="562">
      <c r="A562" s="5" t="n">
        <v>46251</v>
      </c>
      <c r="B562" s="4" t="inlineStr">
        <is>
          <t>Main branch</t>
        </is>
      </c>
      <c r="C562" s="4" t="inlineStr">
        <is>
          <t>Main 3</t>
        </is>
      </c>
      <c r="D562" s="4" t="inlineStr">
        <is>
          <t>Dr Ahmed Mansour</t>
        </is>
      </c>
      <c r="E562" s="4" t="inlineStr">
        <is>
          <t>P-3495</t>
        </is>
      </c>
      <c r="F562" s="4" t="inlineStr">
        <is>
          <t>New</t>
        </is>
      </c>
      <c r="G562" s="4" t="inlineStr">
        <is>
          <t>WhatsApp</t>
        </is>
      </c>
      <c r="H562" s="4" t="inlineStr">
        <is>
          <t>Laser session, body</t>
        </is>
      </c>
      <c r="I562" s="9">
        <f>IF($H562="","",IFERROR(INDEX('Settings'!$J$10:$J$39,MATCH($H562,'Settings'!$I$10:$I$39,0)),""))</f>
        <v/>
      </c>
      <c r="J562" s="6" t="n">
        <v>1</v>
      </c>
      <c r="K562" s="8" t="n">
        <v>1200</v>
      </c>
      <c r="L562" s="8" t="n"/>
      <c r="M562" s="14">
        <f>IF($A562="","",$J562*$K562)</f>
        <v/>
      </c>
      <c r="N562" s="14">
        <f>IF($A562="","",$M562-$L562)</f>
        <v/>
      </c>
      <c r="O562" s="4" t="inlineStr">
        <is>
          <t>Card</t>
        </is>
      </c>
      <c r="P562" s="15">
        <f>IF($A562="","",DATE(YEAR($A562),MONTH($A562),1))</f>
        <v/>
      </c>
      <c r="Q562" s="16">
        <f>IF($H562="","",$J562*IFERROR(INDEX('Settings'!$L$10:$L$39,MATCH($H562,'Settings'!$I$10:$I$39,0)),0))</f>
        <v/>
      </c>
      <c r="R562" s="17">
        <f>IF($A562="","",$A562-WEEKDAY($A562,2)+1)</f>
        <v/>
      </c>
    </row>
    <row r="563">
      <c r="A563" s="5" t="n">
        <v>46251</v>
      </c>
      <c r="B563" s="4" t="inlineStr">
        <is>
          <t>Main branch</t>
        </is>
      </c>
      <c r="C563" s="4" t="inlineStr">
        <is>
          <t>Main 3</t>
        </is>
      </c>
      <c r="D563" s="4" t="inlineStr">
        <is>
          <t>Dr Noura Al Subaie</t>
        </is>
      </c>
      <c r="E563" s="4" t="inlineStr">
        <is>
          <t>P-2449</t>
        </is>
      </c>
      <c r="F563" s="4" t="inlineStr">
        <is>
          <t>Returning</t>
        </is>
      </c>
      <c r="G563" s="4" t="inlineStr">
        <is>
          <t>Walk-in</t>
        </is>
      </c>
      <c r="H563" s="4" t="inlineStr">
        <is>
          <t>Botulinum toxin</t>
        </is>
      </c>
      <c r="I563" s="9">
        <f>IF($H563="","",IFERROR(INDEX('Settings'!$J$10:$J$39,MATCH($H563,'Settings'!$I$10:$I$39,0)),""))</f>
        <v/>
      </c>
      <c r="J563" s="6" t="n">
        <v>1</v>
      </c>
      <c r="K563" s="8" t="n">
        <v>1500</v>
      </c>
      <c r="L563" s="8" t="n"/>
      <c r="M563" s="14">
        <f>IF($A563="","",$J563*$K563)</f>
        <v/>
      </c>
      <c r="N563" s="14">
        <f>IF($A563="","",$M563-$L563)</f>
        <v/>
      </c>
      <c r="O563" s="4" t="inlineStr">
        <is>
          <t>Card</t>
        </is>
      </c>
      <c r="P563" s="15">
        <f>IF($A563="","",DATE(YEAR($A563),MONTH($A563),1))</f>
        <v/>
      </c>
      <c r="Q563" s="16">
        <f>IF($H563="","",$J563*IFERROR(INDEX('Settings'!$L$10:$L$39,MATCH($H563,'Settings'!$I$10:$I$39,0)),0))</f>
        <v/>
      </c>
      <c r="R563" s="17">
        <f>IF($A563="","",$A563-WEEKDAY($A563,2)+1)</f>
        <v/>
      </c>
    </row>
    <row r="564">
      <c r="A564" s="5" t="n">
        <v>46251</v>
      </c>
      <c r="B564" s="4" t="inlineStr">
        <is>
          <t>Main branch</t>
        </is>
      </c>
      <c r="C564" s="4" t="inlineStr">
        <is>
          <t>Main 3</t>
        </is>
      </c>
      <c r="D564" s="4" t="inlineStr">
        <is>
          <t>Dr Noura Al Subaie</t>
        </is>
      </c>
      <c r="E564" s="4" t="inlineStr">
        <is>
          <t>P-3252</t>
        </is>
      </c>
      <c r="F564" s="4" t="inlineStr">
        <is>
          <t>New</t>
        </is>
      </c>
      <c r="G564" s="4" t="inlineStr">
        <is>
          <t>Google</t>
        </is>
      </c>
      <c r="H564" s="4" t="inlineStr">
        <is>
          <t>Botulinum toxin</t>
        </is>
      </c>
      <c r="I564" s="9">
        <f>IF($H564="","",IFERROR(INDEX('Settings'!$J$10:$J$39,MATCH($H564,'Settings'!$I$10:$I$39,0)),""))</f>
        <v/>
      </c>
      <c r="J564" s="6" t="n">
        <v>1</v>
      </c>
      <c r="K564" s="8" t="n">
        <v>1500</v>
      </c>
      <c r="L564" s="8" t="n"/>
      <c r="M564" s="14">
        <f>IF($A564="","",$J564*$K564)</f>
        <v/>
      </c>
      <c r="N564" s="14">
        <f>IF($A564="","",$M564-$L564)</f>
        <v/>
      </c>
      <c r="O564" s="4" t="inlineStr">
        <is>
          <t>Card</t>
        </is>
      </c>
      <c r="P564" s="15">
        <f>IF($A564="","",DATE(YEAR($A564),MONTH($A564),1))</f>
        <v/>
      </c>
      <c r="Q564" s="16">
        <f>IF($H564="","",$J564*IFERROR(INDEX('Settings'!$L$10:$L$39,MATCH($H564,'Settings'!$I$10:$I$39,0)),0))</f>
        <v/>
      </c>
      <c r="R564" s="17">
        <f>IF($A564="","",$A564-WEEKDAY($A564,2)+1)</f>
        <v/>
      </c>
    </row>
    <row r="565">
      <c r="A565" s="5" t="n">
        <v>46251</v>
      </c>
      <c r="B565" s="4" t="inlineStr">
        <is>
          <t>Main branch</t>
        </is>
      </c>
      <c r="C565" s="4" t="inlineStr">
        <is>
          <t>Main 4</t>
        </is>
      </c>
      <c r="D565" s="4" t="inlineStr">
        <is>
          <t>Dr Noura Al Subaie</t>
        </is>
      </c>
      <c r="E565" s="4" t="inlineStr">
        <is>
          <t>P-2531</t>
        </is>
      </c>
      <c r="F565" s="4" t="inlineStr">
        <is>
          <t>Returning</t>
        </is>
      </c>
      <c r="G565" s="4" t="inlineStr">
        <is>
          <t>Instagram</t>
        </is>
      </c>
      <c r="H565" s="4" t="inlineStr">
        <is>
          <t>Physiotherapy session</t>
        </is>
      </c>
      <c r="I565" s="9">
        <f>IF($H565="","",IFERROR(INDEX('Settings'!$J$10:$J$39,MATCH($H565,'Settings'!$I$10:$I$39,0)),""))</f>
        <v/>
      </c>
      <c r="J565" s="6" t="n">
        <v>1</v>
      </c>
      <c r="K565" s="8" t="n">
        <v>300</v>
      </c>
      <c r="L565" s="8" t="n"/>
      <c r="M565" s="14">
        <f>IF($A565="","",$J565*$K565)</f>
        <v/>
      </c>
      <c r="N565" s="14">
        <f>IF($A565="","",$M565-$L565)</f>
        <v/>
      </c>
      <c r="O565" s="4" t="inlineStr">
        <is>
          <t>Card</t>
        </is>
      </c>
      <c r="P565" s="15">
        <f>IF($A565="","",DATE(YEAR($A565),MONTH($A565),1))</f>
        <v/>
      </c>
      <c r="Q565" s="16">
        <f>IF($H565="","",$J565*IFERROR(INDEX('Settings'!$L$10:$L$39,MATCH($H565,'Settings'!$I$10:$I$39,0)),0))</f>
        <v/>
      </c>
      <c r="R565" s="17">
        <f>IF($A565="","",$A565-WEEKDAY($A565,2)+1)</f>
        <v/>
      </c>
    </row>
    <row r="566">
      <c r="A566" s="5" t="n">
        <v>46251</v>
      </c>
      <c r="B566" s="4" t="inlineStr">
        <is>
          <t>North branch</t>
        </is>
      </c>
      <c r="C566" s="4" t="inlineStr">
        <is>
          <t>North 1</t>
        </is>
      </c>
      <c r="D566" s="4" t="inlineStr">
        <is>
          <t>Dr Mohamed Adel</t>
        </is>
      </c>
      <c r="E566" s="4" t="inlineStr">
        <is>
          <t>P-2996</t>
        </is>
      </c>
      <c r="F566" s="4" t="inlineStr">
        <is>
          <t>Returning</t>
        </is>
      </c>
      <c r="G566" s="4" t="inlineStr">
        <is>
          <t>Instagram</t>
        </is>
      </c>
      <c r="H566" s="4" t="inlineStr">
        <is>
          <t>Follow-up visit</t>
        </is>
      </c>
      <c r="I566" s="9">
        <f>IF($H566="","",IFERROR(INDEX('Settings'!$J$10:$J$39,MATCH($H566,'Settings'!$I$10:$I$39,0)),""))</f>
        <v/>
      </c>
      <c r="J566" s="6" t="n">
        <v>1</v>
      </c>
      <c r="K566" s="8" t="n">
        <v>150</v>
      </c>
      <c r="L566" s="8" t="n"/>
      <c r="M566" s="14">
        <f>IF($A566="","",$J566*$K566)</f>
        <v/>
      </c>
      <c r="N566" s="14">
        <f>IF($A566="","",$M566-$L566)</f>
        <v/>
      </c>
      <c r="O566" s="4" t="inlineStr">
        <is>
          <t>Card</t>
        </is>
      </c>
      <c r="P566" s="15">
        <f>IF($A566="","",DATE(YEAR($A566),MONTH($A566),1))</f>
        <v/>
      </c>
      <c r="Q566" s="16">
        <f>IF($H566="","",$J566*IFERROR(INDEX('Settings'!$L$10:$L$39,MATCH($H566,'Settings'!$I$10:$I$39,0)),0))</f>
        <v/>
      </c>
      <c r="R566" s="17">
        <f>IF($A566="","",$A566-WEEKDAY($A566,2)+1)</f>
        <v/>
      </c>
    </row>
    <row r="567">
      <c r="A567" s="5" t="n">
        <v>46251</v>
      </c>
      <c r="B567" s="4" t="inlineStr">
        <is>
          <t>North branch</t>
        </is>
      </c>
      <c r="C567" s="4" t="inlineStr">
        <is>
          <t>North 1</t>
        </is>
      </c>
      <c r="D567" s="4" t="inlineStr">
        <is>
          <t>Dr Khaled Youssef</t>
        </is>
      </c>
      <c r="E567" s="4" t="inlineStr">
        <is>
          <t>P-3258</t>
        </is>
      </c>
      <c r="F567" s="4" t="inlineStr">
        <is>
          <t>New</t>
        </is>
      </c>
      <c r="G567" s="4" t="inlineStr">
        <is>
          <t>WhatsApp</t>
        </is>
      </c>
      <c r="H567" s="4" t="inlineStr">
        <is>
          <t>Follow-up visit</t>
        </is>
      </c>
      <c r="I567" s="9">
        <f>IF($H567="","",IFERROR(INDEX('Settings'!$J$10:$J$39,MATCH($H567,'Settings'!$I$10:$I$39,0)),""))</f>
        <v/>
      </c>
      <c r="J567" s="6" t="n">
        <v>1</v>
      </c>
      <c r="K567" s="8" t="n">
        <v>150</v>
      </c>
      <c r="L567" s="8" t="n"/>
      <c r="M567" s="14">
        <f>IF($A567="","",$J567*$K567)</f>
        <v/>
      </c>
      <c r="N567" s="14">
        <f>IF($A567="","",$M567-$L567)</f>
        <v/>
      </c>
      <c r="O567" s="4" t="inlineStr">
        <is>
          <t>Cash</t>
        </is>
      </c>
      <c r="P567" s="15">
        <f>IF($A567="","",DATE(YEAR($A567),MONTH($A567),1))</f>
        <v/>
      </c>
      <c r="Q567" s="16">
        <f>IF($H567="","",$J567*IFERROR(INDEX('Settings'!$L$10:$L$39,MATCH($H567,'Settings'!$I$10:$I$39,0)),0))</f>
        <v/>
      </c>
      <c r="R567" s="17">
        <f>IF($A567="","",$A567-WEEKDAY($A567,2)+1)</f>
        <v/>
      </c>
    </row>
    <row r="568">
      <c r="A568" s="5" t="n">
        <v>46251</v>
      </c>
      <c r="B568" s="4" t="inlineStr">
        <is>
          <t>North branch</t>
        </is>
      </c>
      <c r="C568" s="4" t="inlineStr">
        <is>
          <t>North 1</t>
        </is>
      </c>
      <c r="D568" s="4" t="inlineStr">
        <is>
          <t>Dr Layla Al Qahtani</t>
        </is>
      </c>
      <c r="E568" s="4" t="inlineStr">
        <is>
          <t>P-2966</t>
        </is>
      </c>
      <c r="F568" s="4" t="inlineStr">
        <is>
          <t>New</t>
        </is>
      </c>
      <c r="G568" s="4" t="inlineStr">
        <is>
          <t>Instagram</t>
        </is>
      </c>
      <c r="H568" s="4" t="inlineStr">
        <is>
          <t>Specialist consultation</t>
        </is>
      </c>
      <c r="I568" s="9">
        <f>IF($H568="","",IFERROR(INDEX('Settings'!$J$10:$J$39,MATCH($H568,'Settings'!$I$10:$I$39,0)),""))</f>
        <v/>
      </c>
      <c r="J568" s="6" t="n">
        <v>1</v>
      </c>
      <c r="K568" s="8" t="n">
        <v>350</v>
      </c>
      <c r="L568" s="8" t="n"/>
      <c r="M568" s="14">
        <f>IF($A568="","",$J568*$K568)</f>
        <v/>
      </c>
      <c r="N568" s="14">
        <f>IF($A568="","",$M568-$L568)</f>
        <v/>
      </c>
      <c r="O568" s="4" t="inlineStr">
        <is>
          <t>Payment link</t>
        </is>
      </c>
      <c r="P568" s="15">
        <f>IF($A568="","",DATE(YEAR($A568),MONTH($A568),1))</f>
        <v/>
      </c>
      <c r="Q568" s="16">
        <f>IF($H568="","",$J568*IFERROR(INDEX('Settings'!$L$10:$L$39,MATCH($H568,'Settings'!$I$10:$I$39,0)),0))</f>
        <v/>
      </c>
      <c r="R568" s="17">
        <f>IF($A568="","",$A568-WEEKDAY($A568,2)+1)</f>
        <v/>
      </c>
    </row>
    <row r="569">
      <c r="A569" s="5" t="n">
        <v>46251</v>
      </c>
      <c r="B569" s="4" t="inlineStr">
        <is>
          <t>North branch</t>
        </is>
      </c>
      <c r="C569" s="4" t="inlineStr">
        <is>
          <t>North 2</t>
        </is>
      </c>
      <c r="D569" s="4" t="inlineStr">
        <is>
          <t>Dr Mohamed Adel</t>
        </is>
      </c>
      <c r="E569" s="4" t="inlineStr">
        <is>
          <t>P-2499</t>
        </is>
      </c>
      <c r="F569" s="4" t="inlineStr">
        <is>
          <t>Returning</t>
        </is>
      </c>
      <c r="G569" s="4" t="inlineStr">
        <is>
          <t>Referral</t>
        </is>
      </c>
      <c r="H569" s="4" t="inlineStr">
        <is>
          <t>Laser session, face</t>
        </is>
      </c>
      <c r="I569" s="9">
        <f>IF($H569="","",IFERROR(INDEX('Settings'!$J$10:$J$39,MATCH($H569,'Settings'!$I$10:$I$39,0)),""))</f>
        <v/>
      </c>
      <c r="J569" s="6" t="n">
        <v>1</v>
      </c>
      <c r="K569" s="8" t="n">
        <v>600</v>
      </c>
      <c r="L569" s="8" t="n"/>
      <c r="M569" s="14">
        <f>IF($A569="","",$J569*$K569)</f>
        <v/>
      </c>
      <c r="N569" s="14">
        <f>IF($A569="","",$M569-$L569)</f>
        <v/>
      </c>
      <c r="O569" s="4" t="inlineStr">
        <is>
          <t>Card</t>
        </is>
      </c>
      <c r="P569" s="15">
        <f>IF($A569="","",DATE(YEAR($A569),MONTH($A569),1))</f>
        <v/>
      </c>
      <c r="Q569" s="16">
        <f>IF($H569="","",$J569*IFERROR(INDEX('Settings'!$L$10:$L$39,MATCH($H569,'Settings'!$I$10:$I$39,0)),0))</f>
        <v/>
      </c>
      <c r="R569" s="17">
        <f>IF($A569="","",$A569-WEEKDAY($A569,2)+1)</f>
        <v/>
      </c>
    </row>
    <row r="570">
      <c r="A570" s="5" t="n">
        <v>46252</v>
      </c>
      <c r="B570" s="4" t="inlineStr">
        <is>
          <t>Main branch</t>
        </is>
      </c>
      <c r="C570" s="4" t="inlineStr">
        <is>
          <t>Main 1</t>
        </is>
      </c>
      <c r="D570" s="4" t="inlineStr">
        <is>
          <t>Dr Ahmed Mansour</t>
        </is>
      </c>
      <c r="E570" s="4" t="inlineStr">
        <is>
          <t>P-2414</t>
        </is>
      </c>
      <c r="F570" s="4" t="inlineStr">
        <is>
          <t>Returning</t>
        </is>
      </c>
      <c r="G570" s="4" t="inlineStr">
        <is>
          <t>Instagram</t>
        </is>
      </c>
      <c r="H570" s="4" t="inlineStr">
        <is>
          <t>Laser session, face</t>
        </is>
      </c>
      <c r="I570" s="9">
        <f>IF($H570="","",IFERROR(INDEX('Settings'!$J$10:$J$39,MATCH($H570,'Settings'!$I$10:$I$39,0)),""))</f>
        <v/>
      </c>
      <c r="J570" s="6" t="n">
        <v>1</v>
      </c>
      <c r="K570" s="8" t="n">
        <v>600</v>
      </c>
      <c r="L570" s="8" t="n"/>
      <c r="M570" s="14">
        <f>IF($A570="","",$J570*$K570)</f>
        <v/>
      </c>
      <c r="N570" s="14">
        <f>IF($A570="","",$M570-$L570)</f>
        <v/>
      </c>
      <c r="O570" s="4" t="inlineStr">
        <is>
          <t>Cash</t>
        </is>
      </c>
      <c r="P570" s="15">
        <f>IF($A570="","",DATE(YEAR($A570),MONTH($A570),1))</f>
        <v/>
      </c>
      <c r="Q570" s="16">
        <f>IF($H570="","",$J570*IFERROR(INDEX('Settings'!$L$10:$L$39,MATCH($H570,'Settings'!$I$10:$I$39,0)),0))</f>
        <v/>
      </c>
      <c r="R570" s="17">
        <f>IF($A570="","",$A570-WEEKDAY($A570,2)+1)</f>
        <v/>
      </c>
    </row>
    <row r="571">
      <c r="A571" s="5" t="n">
        <v>46252</v>
      </c>
      <c r="B571" s="4" t="inlineStr">
        <is>
          <t>Main branch</t>
        </is>
      </c>
      <c r="C571" s="4" t="inlineStr">
        <is>
          <t>Main 2</t>
        </is>
      </c>
      <c r="D571" s="4" t="inlineStr">
        <is>
          <t>Dr Ahmed Mansour</t>
        </is>
      </c>
      <c r="E571" s="4" t="inlineStr">
        <is>
          <t>P-2426</t>
        </is>
      </c>
      <c r="F571" s="4" t="inlineStr">
        <is>
          <t>New</t>
        </is>
      </c>
      <c r="G571" s="4" t="inlineStr">
        <is>
          <t>Instagram</t>
        </is>
      </c>
      <c r="H571" s="4" t="inlineStr">
        <is>
          <t>Laser session, face</t>
        </is>
      </c>
      <c r="I571" s="9">
        <f>IF($H571="","",IFERROR(INDEX('Settings'!$J$10:$J$39,MATCH($H571,'Settings'!$I$10:$I$39,0)),""))</f>
        <v/>
      </c>
      <c r="J571" s="6" t="n">
        <v>1</v>
      </c>
      <c r="K571" s="8" t="n">
        <v>600</v>
      </c>
      <c r="L571" s="8" t="n">
        <v>90</v>
      </c>
      <c r="M571" s="14">
        <f>IF($A571="","",$J571*$K571)</f>
        <v/>
      </c>
      <c r="N571" s="14">
        <f>IF($A571="","",$M571-$L571)</f>
        <v/>
      </c>
      <c r="O571" s="4" t="inlineStr">
        <is>
          <t>Card</t>
        </is>
      </c>
      <c r="P571" s="15">
        <f>IF($A571="","",DATE(YEAR($A571),MONTH($A571),1))</f>
        <v/>
      </c>
      <c r="Q571" s="16">
        <f>IF($H571="","",$J571*IFERROR(INDEX('Settings'!$L$10:$L$39,MATCH($H571,'Settings'!$I$10:$I$39,0)),0))</f>
        <v/>
      </c>
      <c r="R571" s="17">
        <f>IF($A571="","",$A571-WEEKDAY($A571,2)+1)</f>
        <v/>
      </c>
    </row>
    <row r="572">
      <c r="A572" s="5" t="n">
        <v>46252</v>
      </c>
      <c r="B572" s="4" t="inlineStr">
        <is>
          <t>Main branch</t>
        </is>
      </c>
      <c r="C572" s="4" t="inlineStr">
        <is>
          <t>Main 3</t>
        </is>
      </c>
      <c r="D572" s="4" t="inlineStr">
        <is>
          <t>Dr Ahmed Mansour</t>
        </is>
      </c>
      <c r="E572" s="4" t="inlineStr">
        <is>
          <t>P-2158</t>
        </is>
      </c>
      <c r="F572" s="4" t="inlineStr">
        <is>
          <t>New</t>
        </is>
      </c>
      <c r="G572" s="4" t="inlineStr">
        <is>
          <t>Walk-in</t>
        </is>
      </c>
      <c r="H572" s="4" t="inlineStr">
        <is>
          <t>Vitamin C serum</t>
        </is>
      </c>
      <c r="I572" s="9">
        <f>IF($H572="","",IFERROR(INDEX('Settings'!$J$10:$J$39,MATCH($H572,'Settings'!$I$10:$I$39,0)),""))</f>
        <v/>
      </c>
      <c r="J572" s="6" t="n">
        <v>2</v>
      </c>
      <c r="K572" s="8" t="n">
        <v>220</v>
      </c>
      <c r="L572" s="8" t="n"/>
      <c r="M572" s="14">
        <f>IF($A572="","",$J572*$K572)</f>
        <v/>
      </c>
      <c r="N572" s="14">
        <f>IF($A572="","",$M572-$L572)</f>
        <v/>
      </c>
      <c r="O572" s="4" t="inlineStr">
        <is>
          <t>Cash</t>
        </is>
      </c>
      <c r="P572" s="15">
        <f>IF($A572="","",DATE(YEAR($A572),MONTH($A572),1))</f>
        <v/>
      </c>
      <c r="Q572" s="16">
        <f>IF($H572="","",$J572*IFERROR(INDEX('Settings'!$L$10:$L$39,MATCH($H572,'Settings'!$I$10:$I$39,0)),0))</f>
        <v/>
      </c>
      <c r="R572" s="17">
        <f>IF($A572="","",$A572-WEEKDAY($A572,2)+1)</f>
        <v/>
      </c>
    </row>
    <row r="573">
      <c r="A573" s="5" t="n">
        <v>46252</v>
      </c>
      <c r="B573" s="4" t="inlineStr">
        <is>
          <t>Main branch</t>
        </is>
      </c>
      <c r="C573" s="4" t="inlineStr">
        <is>
          <t>Main 3</t>
        </is>
      </c>
      <c r="D573" s="4" t="inlineStr">
        <is>
          <t>Dr Sara Al Harbi</t>
        </is>
      </c>
      <c r="E573" s="4" t="inlineStr">
        <is>
          <t>P-3316</t>
        </is>
      </c>
      <c r="F573" s="4" t="inlineStr">
        <is>
          <t>Returning</t>
        </is>
      </c>
      <c r="G573" s="4" t="inlineStr">
        <is>
          <t>Referral</t>
        </is>
      </c>
      <c r="H573" s="4" t="inlineStr">
        <is>
          <t>Facial cleansing</t>
        </is>
      </c>
      <c r="I573" s="9">
        <f>IF($H573="","",IFERROR(INDEX('Settings'!$J$10:$J$39,MATCH($H573,'Settings'!$I$10:$I$39,0)),""))</f>
        <v/>
      </c>
      <c r="J573" s="6" t="n">
        <v>1</v>
      </c>
      <c r="K573" s="8" t="n">
        <v>400</v>
      </c>
      <c r="L573" s="8" t="n"/>
      <c r="M573" s="14">
        <f>IF($A573="","",$J573*$K573)</f>
        <v/>
      </c>
      <c r="N573" s="14">
        <f>IF($A573="","",$M573-$L573)</f>
        <v/>
      </c>
      <c r="O573" s="4" t="inlineStr">
        <is>
          <t>Cash</t>
        </is>
      </c>
      <c r="P573" s="15">
        <f>IF($A573="","",DATE(YEAR($A573),MONTH($A573),1))</f>
        <v/>
      </c>
      <c r="Q573" s="16">
        <f>IF($H573="","",$J573*IFERROR(INDEX('Settings'!$L$10:$L$39,MATCH($H573,'Settings'!$I$10:$I$39,0)),0))</f>
        <v/>
      </c>
      <c r="R573" s="17">
        <f>IF($A573="","",$A573-WEEKDAY($A573,2)+1)</f>
        <v/>
      </c>
    </row>
    <row r="574">
      <c r="A574" s="5" t="n">
        <v>46252</v>
      </c>
      <c r="B574" s="4" t="inlineStr">
        <is>
          <t>Main branch</t>
        </is>
      </c>
      <c r="C574" s="4" t="inlineStr">
        <is>
          <t>Main 3</t>
        </is>
      </c>
      <c r="D574" s="4" t="inlineStr">
        <is>
          <t>Dr Ahmed Mansour</t>
        </is>
      </c>
      <c r="E574" s="4" t="inlineStr">
        <is>
          <t>P-2705</t>
        </is>
      </c>
      <c r="F574" s="4" t="inlineStr">
        <is>
          <t>Returning</t>
        </is>
      </c>
      <c r="G574" s="4" t="inlineStr">
        <is>
          <t>Instagram</t>
        </is>
      </c>
      <c r="H574" s="4" t="inlineStr">
        <is>
          <t>Specialist consultation</t>
        </is>
      </c>
      <c r="I574" s="9">
        <f>IF($H574="","",IFERROR(INDEX('Settings'!$J$10:$J$39,MATCH($H574,'Settings'!$I$10:$I$39,0)),""))</f>
        <v/>
      </c>
      <c r="J574" s="6" t="n">
        <v>1</v>
      </c>
      <c r="K574" s="8" t="n">
        <v>350</v>
      </c>
      <c r="L574" s="8" t="n"/>
      <c r="M574" s="14">
        <f>IF($A574="","",$J574*$K574)</f>
        <v/>
      </c>
      <c r="N574" s="14">
        <f>IF($A574="","",$M574-$L574)</f>
        <v/>
      </c>
      <c r="O574" s="4" t="inlineStr">
        <is>
          <t>Card</t>
        </is>
      </c>
      <c r="P574" s="15">
        <f>IF($A574="","",DATE(YEAR($A574),MONTH($A574),1))</f>
        <v/>
      </c>
      <c r="Q574" s="16">
        <f>IF($H574="","",$J574*IFERROR(INDEX('Settings'!$L$10:$L$39,MATCH($H574,'Settings'!$I$10:$I$39,0)),0))</f>
        <v/>
      </c>
      <c r="R574" s="17">
        <f>IF($A574="","",$A574-WEEKDAY($A574,2)+1)</f>
        <v/>
      </c>
    </row>
    <row r="575">
      <c r="A575" s="5" t="n">
        <v>46252</v>
      </c>
      <c r="B575" s="4" t="inlineStr">
        <is>
          <t>Main branch</t>
        </is>
      </c>
      <c r="C575" s="4" t="inlineStr">
        <is>
          <t>Main 4</t>
        </is>
      </c>
      <c r="D575" s="4" t="inlineStr">
        <is>
          <t>Dr Ahmed Mansour</t>
        </is>
      </c>
      <c r="E575" s="4" t="inlineStr">
        <is>
          <t>P-2720</t>
        </is>
      </c>
      <c r="F575" s="4" t="inlineStr">
        <is>
          <t>Returning</t>
        </is>
      </c>
      <c r="G575" s="4" t="inlineStr">
        <is>
          <t>Walk-in</t>
        </is>
      </c>
      <c r="H575" s="4" t="inlineStr">
        <is>
          <t>Specialist consultation</t>
        </is>
      </c>
      <c r="I575" s="9">
        <f>IF($H575="","",IFERROR(INDEX('Settings'!$J$10:$J$39,MATCH($H575,'Settings'!$I$10:$I$39,0)),""))</f>
        <v/>
      </c>
      <c r="J575" s="6" t="n">
        <v>1</v>
      </c>
      <c r="K575" s="8" t="n">
        <v>350</v>
      </c>
      <c r="L575" s="8" t="n"/>
      <c r="M575" s="14">
        <f>IF($A575="","",$J575*$K575)</f>
        <v/>
      </c>
      <c r="N575" s="14">
        <f>IF($A575="","",$M575-$L575)</f>
        <v/>
      </c>
      <c r="O575" s="4" t="inlineStr">
        <is>
          <t>Cash</t>
        </is>
      </c>
      <c r="P575" s="15">
        <f>IF($A575="","",DATE(YEAR($A575),MONTH($A575),1))</f>
        <v/>
      </c>
      <c r="Q575" s="16">
        <f>IF($H575="","",$J575*IFERROR(INDEX('Settings'!$L$10:$L$39,MATCH($H575,'Settings'!$I$10:$I$39,0)),0))</f>
        <v/>
      </c>
      <c r="R575" s="17">
        <f>IF($A575="","",$A575-WEEKDAY($A575,2)+1)</f>
        <v/>
      </c>
    </row>
    <row r="576">
      <c r="A576" s="5" t="n">
        <v>46252</v>
      </c>
      <c r="B576" s="4" t="inlineStr">
        <is>
          <t>Main branch</t>
        </is>
      </c>
      <c r="C576" s="4" t="inlineStr">
        <is>
          <t>Main 4</t>
        </is>
      </c>
      <c r="D576" s="4" t="inlineStr">
        <is>
          <t>Dr Sara Al Harbi</t>
        </is>
      </c>
      <c r="E576" s="4" t="inlineStr">
        <is>
          <t>P-3129</t>
        </is>
      </c>
      <c r="F576" s="4" t="inlineStr">
        <is>
          <t>Returning</t>
        </is>
      </c>
      <c r="G576" s="4" t="inlineStr">
        <is>
          <t>Instagram</t>
        </is>
      </c>
      <c r="H576" s="4" t="inlineStr">
        <is>
          <t>Follow-up visit</t>
        </is>
      </c>
      <c r="I576" s="9">
        <f>IF($H576="","",IFERROR(INDEX('Settings'!$J$10:$J$39,MATCH($H576,'Settings'!$I$10:$I$39,0)),""))</f>
        <v/>
      </c>
      <c r="J576" s="6" t="n">
        <v>1</v>
      </c>
      <c r="K576" s="8" t="n">
        <v>150</v>
      </c>
      <c r="L576" s="8" t="n"/>
      <c r="M576" s="14">
        <f>IF($A576="","",$J576*$K576)</f>
        <v/>
      </c>
      <c r="N576" s="14">
        <f>IF($A576="","",$M576-$L576)</f>
        <v/>
      </c>
      <c r="O576" s="4" t="inlineStr">
        <is>
          <t>Cash</t>
        </is>
      </c>
      <c r="P576" s="15">
        <f>IF($A576="","",DATE(YEAR($A576),MONTH($A576),1))</f>
        <v/>
      </c>
      <c r="Q576" s="16">
        <f>IF($H576="","",$J576*IFERROR(INDEX('Settings'!$L$10:$L$39,MATCH($H576,'Settings'!$I$10:$I$39,0)),0))</f>
        <v/>
      </c>
      <c r="R576" s="17">
        <f>IF($A576="","",$A576-WEEKDAY($A576,2)+1)</f>
        <v/>
      </c>
    </row>
    <row r="577">
      <c r="A577" s="5" t="n">
        <v>46252</v>
      </c>
      <c r="B577" s="4" t="inlineStr">
        <is>
          <t>North branch</t>
        </is>
      </c>
      <c r="C577" s="4" t="inlineStr">
        <is>
          <t>North 1</t>
        </is>
      </c>
      <c r="D577" s="4" t="inlineStr">
        <is>
          <t>Dr Khaled Youssef</t>
        </is>
      </c>
      <c r="E577" s="4" t="inlineStr">
        <is>
          <t>P-2561</t>
        </is>
      </c>
      <c r="F577" s="4" t="inlineStr">
        <is>
          <t>Returning</t>
        </is>
      </c>
      <c r="G577" s="4" t="inlineStr">
        <is>
          <t>WhatsApp</t>
        </is>
      </c>
      <c r="H577" s="4" t="inlineStr">
        <is>
          <t>Specialist consultation</t>
        </is>
      </c>
      <c r="I577" s="9">
        <f>IF($H577="","",IFERROR(INDEX('Settings'!$J$10:$J$39,MATCH($H577,'Settings'!$I$10:$I$39,0)),""))</f>
        <v/>
      </c>
      <c r="J577" s="6" t="n">
        <v>1</v>
      </c>
      <c r="K577" s="8" t="n">
        <v>350</v>
      </c>
      <c r="L577" s="8" t="n"/>
      <c r="M577" s="14">
        <f>IF($A577="","",$J577*$K577)</f>
        <v/>
      </c>
      <c r="N577" s="14">
        <f>IF($A577="","",$M577-$L577)</f>
        <v/>
      </c>
      <c r="O577" s="4" t="inlineStr">
        <is>
          <t>Cash</t>
        </is>
      </c>
      <c r="P577" s="15">
        <f>IF($A577="","",DATE(YEAR($A577),MONTH($A577),1))</f>
        <v/>
      </c>
      <c r="Q577" s="16">
        <f>IF($H577="","",$J577*IFERROR(INDEX('Settings'!$L$10:$L$39,MATCH($H577,'Settings'!$I$10:$I$39,0)),0))</f>
        <v/>
      </c>
      <c r="R577" s="17">
        <f>IF($A577="","",$A577-WEEKDAY($A577,2)+1)</f>
        <v/>
      </c>
    </row>
    <row r="578">
      <c r="A578" s="5" t="n">
        <v>46252</v>
      </c>
      <c r="B578" s="4" t="inlineStr">
        <is>
          <t>North branch</t>
        </is>
      </c>
      <c r="C578" s="4" t="inlineStr">
        <is>
          <t>North 1</t>
        </is>
      </c>
      <c r="D578" s="4" t="inlineStr">
        <is>
          <t>Dr Mohamed Adel</t>
        </is>
      </c>
      <c r="E578" s="4" t="inlineStr">
        <is>
          <t>P-3240</t>
        </is>
      </c>
      <c r="F578" s="4" t="inlineStr">
        <is>
          <t>Returning</t>
        </is>
      </c>
      <c r="G578" s="4" t="inlineStr">
        <is>
          <t>Instagram</t>
        </is>
      </c>
      <c r="H578" s="4" t="inlineStr">
        <is>
          <t>Laser session, face</t>
        </is>
      </c>
      <c r="I578" s="9">
        <f>IF($H578="","",IFERROR(INDEX('Settings'!$J$10:$J$39,MATCH($H578,'Settings'!$I$10:$I$39,0)),""))</f>
        <v/>
      </c>
      <c r="J578" s="6" t="n">
        <v>1</v>
      </c>
      <c r="K578" s="8" t="n">
        <v>600</v>
      </c>
      <c r="L578" s="8" t="n">
        <v>90</v>
      </c>
      <c r="M578" s="14">
        <f>IF($A578="","",$J578*$K578)</f>
        <v/>
      </c>
      <c r="N578" s="14">
        <f>IF($A578="","",$M578-$L578)</f>
        <v/>
      </c>
      <c r="O578" s="4" t="inlineStr">
        <is>
          <t>Insurance</t>
        </is>
      </c>
      <c r="P578" s="15">
        <f>IF($A578="","",DATE(YEAR($A578),MONTH($A578),1))</f>
        <v/>
      </c>
      <c r="Q578" s="16">
        <f>IF($H578="","",$J578*IFERROR(INDEX('Settings'!$L$10:$L$39,MATCH($H578,'Settings'!$I$10:$I$39,0)),0))</f>
        <v/>
      </c>
      <c r="R578" s="17">
        <f>IF($A578="","",$A578-WEEKDAY($A578,2)+1)</f>
        <v/>
      </c>
    </row>
    <row r="579">
      <c r="A579" s="5" t="n">
        <v>46252</v>
      </c>
      <c r="B579" s="4" t="inlineStr">
        <is>
          <t>North branch</t>
        </is>
      </c>
      <c r="C579" s="4" t="inlineStr">
        <is>
          <t>North 1</t>
        </is>
      </c>
      <c r="D579" s="4" t="inlineStr">
        <is>
          <t>Dr Khaled Youssef</t>
        </is>
      </c>
      <c r="E579" s="4" t="inlineStr">
        <is>
          <t>P-3398</t>
        </is>
      </c>
      <c r="F579" s="4" t="inlineStr">
        <is>
          <t>New</t>
        </is>
      </c>
      <c r="G579" s="4" t="inlineStr">
        <is>
          <t>Instagram</t>
        </is>
      </c>
      <c r="H579" s="4" t="inlineStr">
        <is>
          <t>Botulinum toxin</t>
        </is>
      </c>
      <c r="I579" s="9">
        <f>IF($H579="","",IFERROR(INDEX('Settings'!$J$10:$J$39,MATCH($H579,'Settings'!$I$10:$I$39,0)),""))</f>
        <v/>
      </c>
      <c r="J579" s="6" t="n">
        <v>1</v>
      </c>
      <c r="K579" s="8" t="n">
        <v>1500</v>
      </c>
      <c r="L579" s="8" t="n"/>
      <c r="M579" s="14">
        <f>IF($A579="","",$J579*$K579)</f>
        <v/>
      </c>
      <c r="N579" s="14">
        <f>IF($A579="","",$M579-$L579)</f>
        <v/>
      </c>
      <c r="O579" s="4" t="inlineStr">
        <is>
          <t>Card</t>
        </is>
      </c>
      <c r="P579" s="15">
        <f>IF($A579="","",DATE(YEAR($A579),MONTH($A579),1))</f>
        <v/>
      </c>
      <c r="Q579" s="16">
        <f>IF($H579="","",$J579*IFERROR(INDEX('Settings'!$L$10:$L$39,MATCH($H579,'Settings'!$I$10:$I$39,0)),0))</f>
        <v/>
      </c>
      <c r="R579" s="17">
        <f>IF($A579="","",$A579-WEEKDAY($A579,2)+1)</f>
        <v/>
      </c>
    </row>
    <row r="580">
      <c r="A580" s="5" t="n">
        <v>46252</v>
      </c>
      <c r="B580" s="4" t="inlineStr">
        <is>
          <t>North branch</t>
        </is>
      </c>
      <c r="C580" s="4" t="inlineStr">
        <is>
          <t>North 1</t>
        </is>
      </c>
      <c r="D580" s="4" t="inlineStr">
        <is>
          <t>Dr Khaled Youssef</t>
        </is>
      </c>
      <c r="E580" s="4" t="inlineStr">
        <is>
          <t>P-2921</t>
        </is>
      </c>
      <c r="F580" s="4" t="inlineStr">
        <is>
          <t>Returning</t>
        </is>
      </c>
      <c r="G580" s="4" t="inlineStr">
        <is>
          <t>Instagram</t>
        </is>
      </c>
      <c r="H580" s="4" t="inlineStr">
        <is>
          <t>Skin tag removal</t>
        </is>
      </c>
      <c r="I580" s="9">
        <f>IF($H580="","",IFERROR(INDEX('Settings'!$J$10:$J$39,MATCH($H580,'Settings'!$I$10:$I$39,0)),""))</f>
        <v/>
      </c>
      <c r="J580" s="6" t="n">
        <v>1</v>
      </c>
      <c r="K580" s="8" t="n">
        <v>500</v>
      </c>
      <c r="L580" s="8" t="n">
        <v>80</v>
      </c>
      <c r="M580" s="14">
        <f>IF($A580="","",$J580*$K580)</f>
        <v/>
      </c>
      <c r="N580" s="14">
        <f>IF($A580="","",$M580-$L580)</f>
        <v/>
      </c>
      <c r="O580" s="4" t="inlineStr">
        <is>
          <t>Card</t>
        </is>
      </c>
      <c r="P580" s="15">
        <f>IF($A580="","",DATE(YEAR($A580),MONTH($A580),1))</f>
        <v/>
      </c>
      <c r="Q580" s="16">
        <f>IF($H580="","",$J580*IFERROR(INDEX('Settings'!$L$10:$L$39,MATCH($H580,'Settings'!$I$10:$I$39,0)),0))</f>
        <v/>
      </c>
      <c r="R580" s="17">
        <f>IF($A580="","",$A580-WEEKDAY($A580,2)+1)</f>
        <v/>
      </c>
    </row>
    <row r="581">
      <c r="A581" s="5" t="n">
        <v>46252</v>
      </c>
      <c r="B581" s="4" t="inlineStr">
        <is>
          <t>North branch</t>
        </is>
      </c>
      <c r="C581" s="4" t="inlineStr">
        <is>
          <t>North 1</t>
        </is>
      </c>
      <c r="D581" s="4" t="inlineStr">
        <is>
          <t>Dr Khaled Youssef</t>
        </is>
      </c>
      <c r="E581" s="4" t="inlineStr">
        <is>
          <t>P-2272</t>
        </is>
      </c>
      <c r="F581" s="4" t="inlineStr">
        <is>
          <t>Returning</t>
        </is>
      </c>
      <c r="G581" s="4" t="inlineStr">
        <is>
          <t>Referral</t>
        </is>
      </c>
      <c r="H581" s="4" t="inlineStr">
        <is>
          <t>Physiotherapy session</t>
        </is>
      </c>
      <c r="I581" s="9">
        <f>IF($H581="","",IFERROR(INDEX('Settings'!$J$10:$J$39,MATCH($H581,'Settings'!$I$10:$I$39,0)),""))</f>
        <v/>
      </c>
      <c r="J581" s="6" t="n">
        <v>1</v>
      </c>
      <c r="K581" s="8" t="n">
        <v>300</v>
      </c>
      <c r="L581" s="8" t="n"/>
      <c r="M581" s="14">
        <f>IF($A581="","",$J581*$K581)</f>
        <v/>
      </c>
      <c r="N581" s="14">
        <f>IF($A581="","",$M581-$L581)</f>
        <v/>
      </c>
      <c r="O581" s="4" t="inlineStr">
        <is>
          <t>Payment link</t>
        </is>
      </c>
      <c r="P581" s="15">
        <f>IF($A581="","",DATE(YEAR($A581),MONTH($A581),1))</f>
        <v/>
      </c>
      <c r="Q581" s="16">
        <f>IF($H581="","",$J581*IFERROR(INDEX('Settings'!$L$10:$L$39,MATCH($H581,'Settings'!$I$10:$I$39,0)),0))</f>
        <v/>
      </c>
      <c r="R581" s="17">
        <f>IF($A581="","",$A581-WEEKDAY($A581,2)+1)</f>
        <v/>
      </c>
    </row>
    <row r="582">
      <c r="A582" s="5" t="n">
        <v>46252</v>
      </c>
      <c r="B582" s="4" t="inlineStr">
        <is>
          <t>North branch</t>
        </is>
      </c>
      <c r="C582" s="4" t="inlineStr">
        <is>
          <t>North 1</t>
        </is>
      </c>
      <c r="D582" s="4" t="inlineStr">
        <is>
          <t>Dr Khaled Youssef</t>
        </is>
      </c>
      <c r="E582" s="4" t="inlineStr">
        <is>
          <t>P-2935</t>
        </is>
      </c>
      <c r="F582" s="4" t="inlineStr">
        <is>
          <t>Returning</t>
        </is>
      </c>
      <c r="G582" s="4" t="inlineStr">
        <is>
          <t>Walk-in</t>
        </is>
      </c>
      <c r="H582" s="4" t="inlineStr">
        <is>
          <t>Follow-up visit</t>
        </is>
      </c>
      <c r="I582" s="9">
        <f>IF($H582="","",IFERROR(INDEX('Settings'!$J$10:$J$39,MATCH($H582,'Settings'!$I$10:$I$39,0)),""))</f>
        <v/>
      </c>
      <c r="J582" s="6" t="n">
        <v>1</v>
      </c>
      <c r="K582" s="8" t="n">
        <v>150</v>
      </c>
      <c r="L582" s="8" t="n"/>
      <c r="M582" s="14">
        <f>IF($A582="","",$J582*$K582)</f>
        <v/>
      </c>
      <c r="N582" s="14">
        <f>IF($A582="","",$M582-$L582)</f>
        <v/>
      </c>
      <c r="O582" s="4" t="inlineStr">
        <is>
          <t>Cash</t>
        </is>
      </c>
      <c r="P582" s="15">
        <f>IF($A582="","",DATE(YEAR($A582),MONTH($A582),1))</f>
        <v/>
      </c>
      <c r="Q582" s="16">
        <f>IF($H582="","",$J582*IFERROR(INDEX('Settings'!$L$10:$L$39,MATCH($H582,'Settings'!$I$10:$I$39,0)),0))</f>
        <v/>
      </c>
      <c r="R582" s="17">
        <f>IF($A582="","",$A582-WEEKDAY($A582,2)+1)</f>
        <v/>
      </c>
    </row>
    <row r="583">
      <c r="A583" s="5" t="n">
        <v>46252</v>
      </c>
      <c r="B583" s="4" t="inlineStr">
        <is>
          <t>North branch</t>
        </is>
      </c>
      <c r="C583" s="4" t="inlineStr">
        <is>
          <t>North 2</t>
        </is>
      </c>
      <c r="D583" s="4" t="inlineStr">
        <is>
          <t>Dr Khaled Youssef</t>
        </is>
      </c>
      <c r="E583" s="4" t="inlineStr">
        <is>
          <t>P-2322</t>
        </is>
      </c>
      <c r="F583" s="4" t="inlineStr">
        <is>
          <t>Returning</t>
        </is>
      </c>
      <c r="G583" s="4" t="inlineStr">
        <is>
          <t>Referral</t>
        </is>
      </c>
      <c r="H583" s="4" t="inlineStr">
        <is>
          <t>Follow-up visit</t>
        </is>
      </c>
      <c r="I583" s="9">
        <f>IF($H583="","",IFERROR(INDEX('Settings'!$J$10:$J$39,MATCH($H583,'Settings'!$I$10:$I$39,0)),""))</f>
        <v/>
      </c>
      <c r="J583" s="6" t="n">
        <v>1</v>
      </c>
      <c r="K583" s="8" t="n">
        <v>150</v>
      </c>
      <c r="L583" s="8" t="n"/>
      <c r="M583" s="14">
        <f>IF($A583="","",$J583*$K583)</f>
        <v/>
      </c>
      <c r="N583" s="14">
        <f>IF($A583="","",$M583-$L583)</f>
        <v/>
      </c>
      <c r="O583" s="4" t="inlineStr">
        <is>
          <t>Payment link</t>
        </is>
      </c>
      <c r="P583" s="15">
        <f>IF($A583="","",DATE(YEAR($A583),MONTH($A583),1))</f>
        <v/>
      </c>
      <c r="Q583" s="16">
        <f>IF($H583="","",$J583*IFERROR(INDEX('Settings'!$L$10:$L$39,MATCH($H583,'Settings'!$I$10:$I$39,0)),0))</f>
        <v/>
      </c>
      <c r="R583" s="17">
        <f>IF($A583="","",$A583-WEEKDAY($A583,2)+1)</f>
        <v/>
      </c>
    </row>
    <row r="584">
      <c r="A584" s="5" t="n">
        <v>46252</v>
      </c>
      <c r="B584" s="4" t="inlineStr">
        <is>
          <t>North branch</t>
        </is>
      </c>
      <c r="C584" s="4" t="inlineStr">
        <is>
          <t>North 2</t>
        </is>
      </c>
      <c r="D584" s="4" t="inlineStr">
        <is>
          <t>Dr Layla Al Qahtani</t>
        </is>
      </c>
      <c r="E584" s="4" t="inlineStr">
        <is>
          <t>P-2919</t>
        </is>
      </c>
      <c r="F584" s="4" t="inlineStr">
        <is>
          <t>Returning</t>
        </is>
      </c>
      <c r="G584" s="4" t="inlineStr">
        <is>
          <t>WhatsApp</t>
        </is>
      </c>
      <c r="H584" s="4" t="inlineStr">
        <is>
          <t>Laser session, face</t>
        </is>
      </c>
      <c r="I584" s="9">
        <f>IF($H584="","",IFERROR(INDEX('Settings'!$J$10:$J$39,MATCH($H584,'Settings'!$I$10:$I$39,0)),""))</f>
        <v/>
      </c>
      <c r="J584" s="6" t="n">
        <v>1</v>
      </c>
      <c r="K584" s="8" t="n">
        <v>600</v>
      </c>
      <c r="L584" s="8" t="n"/>
      <c r="M584" s="14">
        <f>IF($A584="","",$J584*$K584)</f>
        <v/>
      </c>
      <c r="N584" s="14">
        <f>IF($A584="","",$M584-$L584)</f>
        <v/>
      </c>
      <c r="O584" s="4" t="inlineStr">
        <is>
          <t>Card</t>
        </is>
      </c>
      <c r="P584" s="15">
        <f>IF($A584="","",DATE(YEAR($A584),MONTH($A584),1))</f>
        <v/>
      </c>
      <c r="Q584" s="16">
        <f>IF($H584="","",$J584*IFERROR(INDEX('Settings'!$L$10:$L$39,MATCH($H584,'Settings'!$I$10:$I$39,0)),0))</f>
        <v/>
      </c>
      <c r="R584" s="17">
        <f>IF($A584="","",$A584-WEEKDAY($A584,2)+1)</f>
        <v/>
      </c>
    </row>
    <row r="585">
      <c r="A585" s="5" t="n">
        <v>46253</v>
      </c>
      <c r="B585" s="4" t="inlineStr">
        <is>
          <t>Main branch</t>
        </is>
      </c>
      <c r="C585" s="4" t="inlineStr">
        <is>
          <t>Main 1</t>
        </is>
      </c>
      <c r="D585" s="4" t="inlineStr">
        <is>
          <t>Dr Sara Al Harbi</t>
        </is>
      </c>
      <c r="E585" s="4" t="inlineStr">
        <is>
          <t>P-2132</t>
        </is>
      </c>
      <c r="F585" s="4" t="inlineStr">
        <is>
          <t>Returning</t>
        </is>
      </c>
      <c r="G585" s="4" t="inlineStr">
        <is>
          <t>Instagram</t>
        </is>
      </c>
      <c r="H585" s="4" t="inlineStr">
        <is>
          <t>Facial cleansing</t>
        </is>
      </c>
      <c r="I585" s="9">
        <f>IF($H585="","",IFERROR(INDEX('Settings'!$J$10:$J$39,MATCH($H585,'Settings'!$I$10:$I$39,0)),""))</f>
        <v/>
      </c>
      <c r="J585" s="6" t="n">
        <v>1</v>
      </c>
      <c r="K585" s="8" t="n">
        <v>400</v>
      </c>
      <c r="L585" s="8" t="n"/>
      <c r="M585" s="14">
        <f>IF($A585="","",$J585*$K585)</f>
        <v/>
      </c>
      <c r="N585" s="14">
        <f>IF($A585="","",$M585-$L585)</f>
        <v/>
      </c>
      <c r="O585" s="4" t="inlineStr">
        <is>
          <t>Card</t>
        </is>
      </c>
      <c r="P585" s="15">
        <f>IF($A585="","",DATE(YEAR($A585),MONTH($A585),1))</f>
        <v/>
      </c>
      <c r="Q585" s="16">
        <f>IF($H585="","",$J585*IFERROR(INDEX('Settings'!$L$10:$L$39,MATCH($H585,'Settings'!$I$10:$I$39,0)),0))</f>
        <v/>
      </c>
      <c r="R585" s="17">
        <f>IF($A585="","",$A585-WEEKDAY($A585,2)+1)</f>
        <v/>
      </c>
    </row>
    <row r="586">
      <c r="A586" s="5" t="n">
        <v>46253</v>
      </c>
      <c r="B586" s="4" t="inlineStr">
        <is>
          <t>Main branch</t>
        </is>
      </c>
      <c r="C586" s="4" t="inlineStr">
        <is>
          <t>Main 2</t>
        </is>
      </c>
      <c r="D586" s="4" t="inlineStr">
        <is>
          <t>Dr Noura Al Subaie</t>
        </is>
      </c>
      <c r="E586" s="4" t="inlineStr">
        <is>
          <t>P-2609</t>
        </is>
      </c>
      <c r="F586" s="4" t="inlineStr">
        <is>
          <t>Returning</t>
        </is>
      </c>
      <c r="G586" s="4" t="inlineStr">
        <is>
          <t>Referral</t>
        </is>
      </c>
      <c r="H586" s="4" t="inlineStr">
        <is>
          <t>Vitamin C serum</t>
        </is>
      </c>
      <c r="I586" s="9">
        <f>IF($H586="","",IFERROR(INDEX('Settings'!$J$10:$J$39,MATCH($H586,'Settings'!$I$10:$I$39,0)),""))</f>
        <v/>
      </c>
      <c r="J586" s="6" t="n">
        <v>1</v>
      </c>
      <c r="K586" s="8" t="n">
        <v>220</v>
      </c>
      <c r="L586" s="8" t="n"/>
      <c r="M586" s="14">
        <f>IF($A586="","",$J586*$K586)</f>
        <v/>
      </c>
      <c r="N586" s="14">
        <f>IF($A586="","",$M586-$L586)</f>
        <v/>
      </c>
      <c r="O586" s="4" t="inlineStr">
        <is>
          <t>Cash</t>
        </is>
      </c>
      <c r="P586" s="15">
        <f>IF($A586="","",DATE(YEAR($A586),MONTH($A586),1))</f>
        <v/>
      </c>
      <c r="Q586" s="16">
        <f>IF($H586="","",$J586*IFERROR(INDEX('Settings'!$L$10:$L$39,MATCH($H586,'Settings'!$I$10:$I$39,0)),0))</f>
        <v/>
      </c>
      <c r="R586" s="17">
        <f>IF($A586="","",$A586-WEEKDAY($A586,2)+1)</f>
        <v/>
      </c>
    </row>
    <row r="587">
      <c r="A587" s="5" t="n">
        <v>46253</v>
      </c>
      <c r="B587" s="4" t="inlineStr">
        <is>
          <t>Main branch</t>
        </is>
      </c>
      <c r="C587" s="4" t="inlineStr">
        <is>
          <t>Main 2</t>
        </is>
      </c>
      <c r="D587" s="4" t="inlineStr">
        <is>
          <t>Dr Noura Al Subaie</t>
        </is>
      </c>
      <c r="E587" s="4" t="inlineStr">
        <is>
          <t>P-2195</t>
        </is>
      </c>
      <c r="F587" s="4" t="inlineStr">
        <is>
          <t>Returning</t>
        </is>
      </c>
      <c r="G587" s="4" t="inlineStr">
        <is>
          <t>Referral</t>
        </is>
      </c>
      <c r="H587" s="4" t="inlineStr">
        <is>
          <t>Laser session, face</t>
        </is>
      </c>
      <c r="I587" s="9">
        <f>IF($H587="","",IFERROR(INDEX('Settings'!$J$10:$J$39,MATCH($H587,'Settings'!$I$10:$I$39,0)),""))</f>
        <v/>
      </c>
      <c r="J587" s="6" t="n">
        <v>1</v>
      </c>
      <c r="K587" s="8" t="n">
        <v>600</v>
      </c>
      <c r="L587" s="8" t="n"/>
      <c r="M587" s="14">
        <f>IF($A587="","",$J587*$K587)</f>
        <v/>
      </c>
      <c r="N587" s="14">
        <f>IF($A587="","",$M587-$L587)</f>
        <v/>
      </c>
      <c r="O587" s="4" t="inlineStr">
        <is>
          <t>Card</t>
        </is>
      </c>
      <c r="P587" s="15">
        <f>IF($A587="","",DATE(YEAR($A587),MONTH($A587),1))</f>
        <v/>
      </c>
      <c r="Q587" s="16">
        <f>IF($H587="","",$J587*IFERROR(INDEX('Settings'!$L$10:$L$39,MATCH($H587,'Settings'!$I$10:$I$39,0)),0))</f>
        <v/>
      </c>
      <c r="R587" s="17">
        <f>IF($A587="","",$A587-WEEKDAY($A587,2)+1)</f>
        <v/>
      </c>
    </row>
    <row r="588">
      <c r="A588" s="5" t="n">
        <v>46253</v>
      </c>
      <c r="B588" s="4" t="inlineStr">
        <is>
          <t>Main branch</t>
        </is>
      </c>
      <c r="C588" s="4" t="inlineStr">
        <is>
          <t>Main 2</t>
        </is>
      </c>
      <c r="D588" s="4" t="inlineStr">
        <is>
          <t>Dr Ahmed Mansour</t>
        </is>
      </c>
      <c r="E588" s="4" t="inlineStr">
        <is>
          <t>P-2166</t>
        </is>
      </c>
      <c r="F588" s="4" t="inlineStr">
        <is>
          <t>Returning</t>
        </is>
      </c>
      <c r="G588" s="4" t="inlineStr">
        <is>
          <t>Referral</t>
        </is>
      </c>
      <c r="H588" s="4" t="inlineStr">
        <is>
          <t>Laser session, face</t>
        </is>
      </c>
      <c r="I588" s="9">
        <f>IF($H588="","",IFERROR(INDEX('Settings'!$J$10:$J$39,MATCH($H588,'Settings'!$I$10:$I$39,0)),""))</f>
        <v/>
      </c>
      <c r="J588" s="6" t="n">
        <v>1</v>
      </c>
      <c r="K588" s="8" t="n">
        <v>600</v>
      </c>
      <c r="L588" s="8" t="n"/>
      <c r="M588" s="14">
        <f>IF($A588="","",$J588*$K588)</f>
        <v/>
      </c>
      <c r="N588" s="14">
        <f>IF($A588="","",$M588-$L588)</f>
        <v/>
      </c>
      <c r="O588" s="4" t="inlineStr">
        <is>
          <t>Card</t>
        </is>
      </c>
      <c r="P588" s="15">
        <f>IF($A588="","",DATE(YEAR($A588),MONTH($A588),1))</f>
        <v/>
      </c>
      <c r="Q588" s="16">
        <f>IF($H588="","",$J588*IFERROR(INDEX('Settings'!$L$10:$L$39,MATCH($H588,'Settings'!$I$10:$I$39,0)),0))</f>
        <v/>
      </c>
      <c r="R588" s="17">
        <f>IF($A588="","",$A588-WEEKDAY($A588,2)+1)</f>
        <v/>
      </c>
    </row>
    <row r="589">
      <c r="A589" s="5" t="n">
        <v>46253</v>
      </c>
      <c r="B589" s="4" t="inlineStr">
        <is>
          <t>Main branch</t>
        </is>
      </c>
      <c r="C589" s="4" t="inlineStr">
        <is>
          <t>Main 3</t>
        </is>
      </c>
      <c r="D589" s="4" t="inlineStr">
        <is>
          <t>Dr Ahmed Mansour</t>
        </is>
      </c>
      <c r="E589" s="4" t="inlineStr">
        <is>
          <t>P-2219</t>
        </is>
      </c>
      <c r="F589" s="4" t="inlineStr">
        <is>
          <t>Returning</t>
        </is>
      </c>
      <c r="G589" s="4" t="inlineStr">
        <is>
          <t>WhatsApp</t>
        </is>
      </c>
      <c r="H589" s="4" t="inlineStr">
        <is>
          <t>Vitamin C serum</t>
        </is>
      </c>
      <c r="I589" s="9">
        <f>IF($H589="","",IFERROR(INDEX('Settings'!$J$10:$J$39,MATCH($H589,'Settings'!$I$10:$I$39,0)),""))</f>
        <v/>
      </c>
      <c r="J589" s="6" t="n">
        <v>1</v>
      </c>
      <c r="K589" s="8" t="n">
        <v>220</v>
      </c>
      <c r="L589" s="8" t="n"/>
      <c r="M589" s="14">
        <f>IF($A589="","",$J589*$K589)</f>
        <v/>
      </c>
      <c r="N589" s="14">
        <f>IF($A589="","",$M589-$L589)</f>
        <v/>
      </c>
      <c r="O589" s="4" t="inlineStr">
        <is>
          <t>Card</t>
        </is>
      </c>
      <c r="P589" s="15">
        <f>IF($A589="","",DATE(YEAR($A589),MONTH($A589),1))</f>
        <v/>
      </c>
      <c r="Q589" s="16">
        <f>IF($H589="","",$J589*IFERROR(INDEX('Settings'!$L$10:$L$39,MATCH($H589,'Settings'!$I$10:$I$39,0)),0))</f>
        <v/>
      </c>
      <c r="R589" s="17">
        <f>IF($A589="","",$A589-WEEKDAY($A589,2)+1)</f>
        <v/>
      </c>
    </row>
    <row r="590">
      <c r="A590" s="5" t="n">
        <v>46253</v>
      </c>
      <c r="B590" s="4" t="inlineStr">
        <is>
          <t>Main branch</t>
        </is>
      </c>
      <c r="C590" s="4" t="inlineStr">
        <is>
          <t>Main 3</t>
        </is>
      </c>
      <c r="D590" s="4" t="inlineStr">
        <is>
          <t>Dr Ahmed Mansour</t>
        </is>
      </c>
      <c r="E590" s="4" t="inlineStr">
        <is>
          <t>P-2274</t>
        </is>
      </c>
      <c r="F590" s="4" t="inlineStr">
        <is>
          <t>New</t>
        </is>
      </c>
      <c r="G590" s="4" t="inlineStr">
        <is>
          <t>Google</t>
        </is>
      </c>
      <c r="H590" s="4" t="inlineStr">
        <is>
          <t>Specialist consultation</t>
        </is>
      </c>
      <c r="I590" s="9">
        <f>IF($H590="","",IFERROR(INDEX('Settings'!$J$10:$J$39,MATCH($H590,'Settings'!$I$10:$I$39,0)),""))</f>
        <v/>
      </c>
      <c r="J590" s="6" t="n">
        <v>1</v>
      </c>
      <c r="K590" s="8" t="n">
        <v>350</v>
      </c>
      <c r="L590" s="8" t="n"/>
      <c r="M590" s="14">
        <f>IF($A590="","",$J590*$K590)</f>
        <v/>
      </c>
      <c r="N590" s="14">
        <f>IF($A590="","",$M590-$L590)</f>
        <v/>
      </c>
      <c r="O590" s="4" t="inlineStr">
        <is>
          <t>Cash</t>
        </is>
      </c>
      <c r="P590" s="15">
        <f>IF($A590="","",DATE(YEAR($A590),MONTH($A590),1))</f>
        <v/>
      </c>
      <c r="Q590" s="16">
        <f>IF($H590="","",$J590*IFERROR(INDEX('Settings'!$L$10:$L$39,MATCH($H590,'Settings'!$I$10:$I$39,0)),0))</f>
        <v/>
      </c>
      <c r="R590" s="17">
        <f>IF($A590="","",$A590-WEEKDAY($A590,2)+1)</f>
        <v/>
      </c>
    </row>
    <row r="591">
      <c r="A591" s="5" t="n">
        <v>46253</v>
      </c>
      <c r="B591" s="4" t="inlineStr">
        <is>
          <t>Main branch</t>
        </is>
      </c>
      <c r="C591" s="4" t="inlineStr">
        <is>
          <t>Main 4</t>
        </is>
      </c>
      <c r="D591" s="4" t="inlineStr">
        <is>
          <t>Dr Ahmed Mansour</t>
        </is>
      </c>
      <c r="E591" s="4" t="inlineStr">
        <is>
          <t>P-2703</t>
        </is>
      </c>
      <c r="F591" s="4" t="inlineStr">
        <is>
          <t>Returning</t>
        </is>
      </c>
      <c r="G591" s="4" t="inlineStr">
        <is>
          <t>Google</t>
        </is>
      </c>
      <c r="H591" s="4" t="inlineStr">
        <is>
          <t>Botulinum toxin</t>
        </is>
      </c>
      <c r="I591" s="9">
        <f>IF($H591="","",IFERROR(INDEX('Settings'!$J$10:$J$39,MATCH($H591,'Settings'!$I$10:$I$39,0)),""))</f>
        <v/>
      </c>
      <c r="J591" s="6" t="n">
        <v>1</v>
      </c>
      <c r="K591" s="8" t="n">
        <v>1500</v>
      </c>
      <c r="L591" s="8" t="n"/>
      <c r="M591" s="14">
        <f>IF($A591="","",$J591*$K591)</f>
        <v/>
      </c>
      <c r="N591" s="14">
        <f>IF($A591="","",$M591-$L591)</f>
        <v/>
      </c>
      <c r="O591" s="4" t="inlineStr">
        <is>
          <t>Transfer</t>
        </is>
      </c>
      <c r="P591" s="15">
        <f>IF($A591="","",DATE(YEAR($A591),MONTH($A591),1))</f>
        <v/>
      </c>
      <c r="Q591" s="16">
        <f>IF($H591="","",$J591*IFERROR(INDEX('Settings'!$L$10:$L$39,MATCH($H591,'Settings'!$I$10:$I$39,0)),0))</f>
        <v/>
      </c>
      <c r="R591" s="17">
        <f>IF($A591="","",$A591-WEEKDAY($A591,2)+1)</f>
        <v/>
      </c>
    </row>
    <row r="592">
      <c r="A592" s="5" t="n">
        <v>46253</v>
      </c>
      <c r="B592" s="4" t="inlineStr">
        <is>
          <t>Main branch</t>
        </is>
      </c>
      <c r="C592" s="4" t="inlineStr">
        <is>
          <t>Main 4</t>
        </is>
      </c>
      <c r="D592" s="4" t="inlineStr">
        <is>
          <t>Dr Sara Al Harbi</t>
        </is>
      </c>
      <c r="E592" s="4" t="inlineStr">
        <is>
          <t>P-2186</t>
        </is>
      </c>
      <c r="F592" s="4" t="inlineStr">
        <is>
          <t>Returning</t>
        </is>
      </c>
      <c r="G592" s="4" t="inlineStr">
        <is>
          <t>WhatsApp</t>
        </is>
      </c>
      <c r="H592" s="4" t="inlineStr">
        <is>
          <t>Chemical peel</t>
        </is>
      </c>
      <c r="I592" s="9">
        <f>IF($H592="","",IFERROR(INDEX('Settings'!$J$10:$J$39,MATCH($H592,'Settings'!$I$10:$I$39,0)),""))</f>
        <v/>
      </c>
      <c r="J592" s="6" t="n">
        <v>1</v>
      </c>
      <c r="K592" s="8" t="n">
        <v>800</v>
      </c>
      <c r="L592" s="8" t="n"/>
      <c r="M592" s="14">
        <f>IF($A592="","",$J592*$K592)</f>
        <v/>
      </c>
      <c r="N592" s="14">
        <f>IF($A592="","",$M592-$L592)</f>
        <v/>
      </c>
      <c r="O592" s="4" t="inlineStr">
        <is>
          <t>Card</t>
        </is>
      </c>
      <c r="P592" s="15">
        <f>IF($A592="","",DATE(YEAR($A592),MONTH($A592),1))</f>
        <v/>
      </c>
      <c r="Q592" s="16">
        <f>IF($H592="","",$J592*IFERROR(INDEX('Settings'!$L$10:$L$39,MATCH($H592,'Settings'!$I$10:$I$39,0)),0))</f>
        <v/>
      </c>
      <c r="R592" s="17">
        <f>IF($A592="","",$A592-WEEKDAY($A592,2)+1)</f>
        <v/>
      </c>
    </row>
    <row r="593">
      <c r="A593" s="5" t="n">
        <v>46253</v>
      </c>
      <c r="B593" s="4" t="inlineStr">
        <is>
          <t>Main branch</t>
        </is>
      </c>
      <c r="C593" s="4" t="inlineStr">
        <is>
          <t>Main 4</t>
        </is>
      </c>
      <c r="D593" s="4" t="inlineStr">
        <is>
          <t>Dr Ahmed Mansour</t>
        </is>
      </c>
      <c r="E593" s="4" t="inlineStr">
        <is>
          <t>P-2819</t>
        </is>
      </c>
      <c r="F593" s="4" t="inlineStr">
        <is>
          <t>Returning</t>
        </is>
      </c>
      <c r="G593" s="4" t="inlineStr">
        <is>
          <t>Instagram</t>
        </is>
      </c>
      <c r="H593" s="4" t="inlineStr">
        <is>
          <t>Laser session, body</t>
        </is>
      </c>
      <c r="I593" s="9">
        <f>IF($H593="","",IFERROR(INDEX('Settings'!$J$10:$J$39,MATCH($H593,'Settings'!$I$10:$I$39,0)),""))</f>
        <v/>
      </c>
      <c r="J593" s="6" t="n">
        <v>1</v>
      </c>
      <c r="K593" s="8" t="n">
        <v>1200</v>
      </c>
      <c r="L593" s="8" t="n"/>
      <c r="M593" s="14">
        <f>IF($A593="","",$J593*$K593)</f>
        <v/>
      </c>
      <c r="N593" s="14">
        <f>IF($A593="","",$M593-$L593)</f>
        <v/>
      </c>
      <c r="O593" s="4" t="inlineStr">
        <is>
          <t>Card</t>
        </is>
      </c>
      <c r="P593" s="15">
        <f>IF($A593="","",DATE(YEAR($A593),MONTH($A593),1))</f>
        <v/>
      </c>
      <c r="Q593" s="16">
        <f>IF($H593="","",$J593*IFERROR(INDEX('Settings'!$L$10:$L$39,MATCH($H593,'Settings'!$I$10:$I$39,0)),0))</f>
        <v/>
      </c>
      <c r="R593" s="17">
        <f>IF($A593="","",$A593-WEEKDAY($A593,2)+1)</f>
        <v/>
      </c>
    </row>
    <row r="594">
      <c r="A594" s="5" t="n">
        <v>46253</v>
      </c>
      <c r="B594" s="4" t="inlineStr">
        <is>
          <t>North branch</t>
        </is>
      </c>
      <c r="C594" s="4" t="inlineStr">
        <is>
          <t>North 1</t>
        </is>
      </c>
      <c r="D594" s="4" t="inlineStr">
        <is>
          <t>Dr Mohamed Adel</t>
        </is>
      </c>
      <c r="E594" s="4" t="inlineStr">
        <is>
          <t>P-3431</t>
        </is>
      </c>
      <c r="F594" s="4" t="inlineStr">
        <is>
          <t>Returning</t>
        </is>
      </c>
      <c r="G594" s="4" t="inlineStr">
        <is>
          <t>WhatsApp</t>
        </is>
      </c>
      <c r="H594" s="4" t="inlineStr">
        <is>
          <t>Follow-up visit</t>
        </is>
      </c>
      <c r="I594" s="9">
        <f>IF($H594="","",IFERROR(INDEX('Settings'!$J$10:$J$39,MATCH($H594,'Settings'!$I$10:$I$39,0)),""))</f>
        <v/>
      </c>
      <c r="J594" s="6" t="n">
        <v>1</v>
      </c>
      <c r="K594" s="8" t="n">
        <v>150</v>
      </c>
      <c r="L594" s="8" t="n"/>
      <c r="M594" s="14">
        <f>IF($A594="","",$J594*$K594)</f>
        <v/>
      </c>
      <c r="N594" s="14">
        <f>IF($A594="","",$M594-$L594)</f>
        <v/>
      </c>
      <c r="O594" s="4" t="inlineStr">
        <is>
          <t>Card</t>
        </is>
      </c>
      <c r="P594" s="15">
        <f>IF($A594="","",DATE(YEAR($A594),MONTH($A594),1))</f>
        <v/>
      </c>
      <c r="Q594" s="16">
        <f>IF($H594="","",$J594*IFERROR(INDEX('Settings'!$L$10:$L$39,MATCH($H594,'Settings'!$I$10:$I$39,0)),0))</f>
        <v/>
      </c>
      <c r="R594" s="17">
        <f>IF($A594="","",$A594-WEEKDAY($A594,2)+1)</f>
        <v/>
      </c>
    </row>
    <row r="595">
      <c r="A595" s="5" t="n">
        <v>46253</v>
      </c>
      <c r="B595" s="4" t="inlineStr">
        <is>
          <t>North branch</t>
        </is>
      </c>
      <c r="C595" s="4" t="inlineStr">
        <is>
          <t>North 1</t>
        </is>
      </c>
      <c r="D595" s="4" t="inlineStr">
        <is>
          <t>Dr Layla Al Qahtani</t>
        </is>
      </c>
      <c r="E595" s="4" t="inlineStr">
        <is>
          <t>P-2828</t>
        </is>
      </c>
      <c r="F595" s="4" t="inlineStr">
        <is>
          <t>Returning</t>
        </is>
      </c>
      <c r="G595" s="4" t="inlineStr">
        <is>
          <t>Walk-in</t>
        </is>
      </c>
      <c r="H595" s="4" t="inlineStr">
        <is>
          <t>Sunscreen cream</t>
        </is>
      </c>
      <c r="I595" s="9">
        <f>IF($H595="","",IFERROR(INDEX('Settings'!$J$10:$J$39,MATCH($H595,'Settings'!$I$10:$I$39,0)),""))</f>
        <v/>
      </c>
      <c r="J595" s="6" t="n">
        <v>1</v>
      </c>
      <c r="K595" s="8" t="n">
        <v>120</v>
      </c>
      <c r="L595" s="8" t="n"/>
      <c r="M595" s="14">
        <f>IF($A595="","",$J595*$K595)</f>
        <v/>
      </c>
      <c r="N595" s="14">
        <f>IF($A595="","",$M595-$L595)</f>
        <v/>
      </c>
      <c r="O595" s="4" t="inlineStr">
        <is>
          <t>Card</t>
        </is>
      </c>
      <c r="P595" s="15">
        <f>IF($A595="","",DATE(YEAR($A595),MONTH($A595),1))</f>
        <v/>
      </c>
      <c r="Q595" s="16">
        <f>IF($H595="","",$J595*IFERROR(INDEX('Settings'!$L$10:$L$39,MATCH($H595,'Settings'!$I$10:$I$39,0)),0))</f>
        <v/>
      </c>
      <c r="R595" s="17">
        <f>IF($A595="","",$A595-WEEKDAY($A595,2)+1)</f>
        <v/>
      </c>
    </row>
    <row r="596">
      <c r="A596" s="5" t="n">
        <v>46253</v>
      </c>
      <c r="B596" s="4" t="inlineStr">
        <is>
          <t>North branch</t>
        </is>
      </c>
      <c r="C596" s="4" t="inlineStr">
        <is>
          <t>North 1</t>
        </is>
      </c>
      <c r="D596" s="4" t="inlineStr">
        <is>
          <t>Dr Layla Al Qahtani</t>
        </is>
      </c>
      <c r="E596" s="4" t="inlineStr">
        <is>
          <t>P-3361</t>
        </is>
      </c>
      <c r="F596" s="4" t="inlineStr">
        <is>
          <t>New</t>
        </is>
      </c>
      <c r="G596" s="4" t="inlineStr">
        <is>
          <t>Instagram</t>
        </is>
      </c>
      <c r="H596" s="4" t="inlineStr">
        <is>
          <t>Specialist consultation</t>
        </is>
      </c>
      <c r="I596" s="9">
        <f>IF($H596="","",IFERROR(INDEX('Settings'!$J$10:$J$39,MATCH($H596,'Settings'!$I$10:$I$39,0)),""))</f>
        <v/>
      </c>
      <c r="J596" s="6" t="n">
        <v>1</v>
      </c>
      <c r="K596" s="8" t="n">
        <v>350</v>
      </c>
      <c r="L596" s="8" t="n"/>
      <c r="M596" s="14">
        <f>IF($A596="","",$J596*$K596)</f>
        <v/>
      </c>
      <c r="N596" s="14">
        <f>IF($A596="","",$M596-$L596)</f>
        <v/>
      </c>
      <c r="O596" s="4" t="inlineStr">
        <is>
          <t>Card</t>
        </is>
      </c>
      <c r="P596" s="15">
        <f>IF($A596="","",DATE(YEAR($A596),MONTH($A596),1))</f>
        <v/>
      </c>
      <c r="Q596" s="16">
        <f>IF($H596="","",$J596*IFERROR(INDEX('Settings'!$L$10:$L$39,MATCH($H596,'Settings'!$I$10:$I$39,0)),0))</f>
        <v/>
      </c>
      <c r="R596" s="17">
        <f>IF($A596="","",$A596-WEEKDAY($A596,2)+1)</f>
        <v/>
      </c>
    </row>
    <row r="597">
      <c r="A597" s="5" t="n">
        <v>46253</v>
      </c>
      <c r="B597" s="4" t="inlineStr">
        <is>
          <t>North branch</t>
        </is>
      </c>
      <c r="C597" s="4" t="inlineStr">
        <is>
          <t>North 1</t>
        </is>
      </c>
      <c r="D597" s="4" t="inlineStr">
        <is>
          <t>Dr Mohamed Adel</t>
        </is>
      </c>
      <c r="E597" s="4" t="inlineStr">
        <is>
          <t>P-2591</t>
        </is>
      </c>
      <c r="F597" s="4" t="inlineStr">
        <is>
          <t>Returning</t>
        </is>
      </c>
      <c r="G597" s="4" t="inlineStr">
        <is>
          <t>Instagram</t>
        </is>
      </c>
      <c r="H597" s="4" t="inlineStr">
        <is>
          <t>Filler injection</t>
        </is>
      </c>
      <c r="I597" s="9">
        <f>IF($H597="","",IFERROR(INDEX('Settings'!$J$10:$J$39,MATCH($H597,'Settings'!$I$10:$I$39,0)),""))</f>
        <v/>
      </c>
      <c r="J597" s="6" t="n">
        <v>1</v>
      </c>
      <c r="K597" s="8" t="n">
        <v>1800</v>
      </c>
      <c r="L597" s="8" t="n"/>
      <c r="M597" s="14">
        <f>IF($A597="","",$J597*$K597)</f>
        <v/>
      </c>
      <c r="N597" s="14">
        <f>IF($A597="","",$M597-$L597)</f>
        <v/>
      </c>
      <c r="O597" s="4" t="inlineStr">
        <is>
          <t>Cash</t>
        </is>
      </c>
      <c r="P597" s="15">
        <f>IF($A597="","",DATE(YEAR($A597),MONTH($A597),1))</f>
        <v/>
      </c>
      <c r="Q597" s="16">
        <f>IF($H597="","",$J597*IFERROR(INDEX('Settings'!$L$10:$L$39,MATCH($H597,'Settings'!$I$10:$I$39,0)),0))</f>
        <v/>
      </c>
      <c r="R597" s="17">
        <f>IF($A597="","",$A597-WEEKDAY($A597,2)+1)</f>
        <v/>
      </c>
    </row>
    <row r="598">
      <c r="A598" s="5" t="n">
        <v>46253</v>
      </c>
      <c r="B598" s="4" t="inlineStr">
        <is>
          <t>North branch</t>
        </is>
      </c>
      <c r="C598" s="4" t="inlineStr">
        <is>
          <t>North 1</t>
        </is>
      </c>
      <c r="D598" s="4" t="inlineStr">
        <is>
          <t>Dr Layla Al Qahtani</t>
        </is>
      </c>
      <c r="E598" s="4" t="inlineStr">
        <is>
          <t>P-3184</t>
        </is>
      </c>
      <c r="F598" s="4" t="inlineStr">
        <is>
          <t>New</t>
        </is>
      </c>
      <c r="G598" s="4" t="inlineStr">
        <is>
          <t>Referral</t>
        </is>
      </c>
      <c r="H598" s="4" t="inlineStr">
        <is>
          <t>Chemical peel</t>
        </is>
      </c>
      <c r="I598" s="9">
        <f>IF($H598="","",IFERROR(INDEX('Settings'!$J$10:$J$39,MATCH($H598,'Settings'!$I$10:$I$39,0)),""))</f>
        <v/>
      </c>
      <c r="J598" s="6" t="n">
        <v>1</v>
      </c>
      <c r="K598" s="8" t="n">
        <v>800</v>
      </c>
      <c r="L598" s="8" t="n"/>
      <c r="M598" s="14">
        <f>IF($A598="","",$J598*$K598)</f>
        <v/>
      </c>
      <c r="N598" s="14">
        <f>IF($A598="","",$M598-$L598)</f>
        <v/>
      </c>
      <c r="O598" s="4" t="inlineStr">
        <is>
          <t>Payment link</t>
        </is>
      </c>
      <c r="P598" s="15">
        <f>IF($A598="","",DATE(YEAR($A598),MONTH($A598),1))</f>
        <v/>
      </c>
      <c r="Q598" s="16">
        <f>IF($H598="","",$J598*IFERROR(INDEX('Settings'!$L$10:$L$39,MATCH($H598,'Settings'!$I$10:$I$39,0)),0))</f>
        <v/>
      </c>
      <c r="R598" s="17">
        <f>IF($A598="","",$A598-WEEKDAY($A598,2)+1)</f>
        <v/>
      </c>
    </row>
    <row r="599">
      <c r="A599" s="5" t="n">
        <v>46253</v>
      </c>
      <c r="B599" s="4" t="inlineStr">
        <is>
          <t>North branch</t>
        </is>
      </c>
      <c r="C599" s="4" t="inlineStr">
        <is>
          <t>North 2</t>
        </is>
      </c>
      <c r="D599" s="4" t="inlineStr">
        <is>
          <t>Dr Mohamed Adel</t>
        </is>
      </c>
      <c r="E599" s="4" t="inlineStr">
        <is>
          <t>P-2498</t>
        </is>
      </c>
      <c r="F599" s="4" t="inlineStr">
        <is>
          <t>Returning</t>
        </is>
      </c>
      <c r="G599" s="4" t="inlineStr">
        <is>
          <t>Google</t>
        </is>
      </c>
      <c r="H599" s="4" t="inlineStr">
        <is>
          <t>Facial cleansing</t>
        </is>
      </c>
      <c r="I599" s="9">
        <f>IF($H599="","",IFERROR(INDEX('Settings'!$J$10:$J$39,MATCH($H599,'Settings'!$I$10:$I$39,0)),""))</f>
        <v/>
      </c>
      <c r="J599" s="6" t="n">
        <v>1</v>
      </c>
      <c r="K599" s="8" t="n">
        <v>400</v>
      </c>
      <c r="L599" s="8" t="n"/>
      <c r="M599" s="14">
        <f>IF($A599="","",$J599*$K599)</f>
        <v/>
      </c>
      <c r="N599" s="14">
        <f>IF($A599="","",$M599-$L599)</f>
        <v/>
      </c>
      <c r="O599" s="4" t="inlineStr">
        <is>
          <t>Payment link</t>
        </is>
      </c>
      <c r="P599" s="15">
        <f>IF($A599="","",DATE(YEAR($A599),MONTH($A599),1))</f>
        <v/>
      </c>
      <c r="Q599" s="16">
        <f>IF($H599="","",$J599*IFERROR(INDEX('Settings'!$L$10:$L$39,MATCH($H599,'Settings'!$I$10:$I$39,0)),0))</f>
        <v/>
      </c>
      <c r="R599" s="17">
        <f>IF($A599="","",$A599-WEEKDAY($A599,2)+1)</f>
        <v/>
      </c>
    </row>
    <row r="600">
      <c r="A600" s="5" t="n">
        <v>46253</v>
      </c>
      <c r="B600" s="4" t="inlineStr">
        <is>
          <t>North branch</t>
        </is>
      </c>
      <c r="C600" s="4" t="inlineStr">
        <is>
          <t>North 2</t>
        </is>
      </c>
      <c r="D600" s="4" t="inlineStr">
        <is>
          <t>Dr Layla Al Qahtani</t>
        </is>
      </c>
      <c r="E600" s="4" t="inlineStr">
        <is>
          <t>P-2890</t>
        </is>
      </c>
      <c r="F600" s="4" t="inlineStr">
        <is>
          <t>Returning</t>
        </is>
      </c>
      <c r="G600" s="4" t="inlineStr">
        <is>
          <t>Google</t>
        </is>
      </c>
      <c r="H600" s="4" t="inlineStr">
        <is>
          <t>Sunscreen cream</t>
        </is>
      </c>
      <c r="I600" s="9">
        <f>IF($H600="","",IFERROR(INDEX('Settings'!$J$10:$J$39,MATCH($H600,'Settings'!$I$10:$I$39,0)),""))</f>
        <v/>
      </c>
      <c r="J600" s="6" t="n">
        <v>1</v>
      </c>
      <c r="K600" s="8" t="n">
        <v>120</v>
      </c>
      <c r="L600" s="8" t="n"/>
      <c r="M600" s="14">
        <f>IF($A600="","",$J600*$K600)</f>
        <v/>
      </c>
      <c r="N600" s="14">
        <f>IF($A600="","",$M600-$L600)</f>
        <v/>
      </c>
      <c r="O600" s="4" t="inlineStr">
        <is>
          <t>Cash</t>
        </is>
      </c>
      <c r="P600" s="15">
        <f>IF($A600="","",DATE(YEAR($A600),MONTH($A600),1))</f>
        <v/>
      </c>
      <c r="Q600" s="16">
        <f>IF($H600="","",$J600*IFERROR(INDEX('Settings'!$L$10:$L$39,MATCH($H600,'Settings'!$I$10:$I$39,0)),0))</f>
        <v/>
      </c>
      <c r="R600" s="17">
        <f>IF($A600="","",$A600-WEEKDAY($A600,2)+1)</f>
        <v/>
      </c>
    </row>
    <row r="601">
      <c r="A601" s="5" t="n">
        <v>46253</v>
      </c>
      <c r="B601" s="4" t="inlineStr">
        <is>
          <t>North branch</t>
        </is>
      </c>
      <c r="C601" s="4" t="inlineStr">
        <is>
          <t>North 2</t>
        </is>
      </c>
      <c r="D601" s="4" t="inlineStr">
        <is>
          <t>Dr Mohamed Adel</t>
        </is>
      </c>
      <c r="E601" s="4" t="inlineStr">
        <is>
          <t>P-2498</t>
        </is>
      </c>
      <c r="F601" s="4" t="inlineStr">
        <is>
          <t>Returning</t>
        </is>
      </c>
      <c r="G601" s="4" t="inlineStr">
        <is>
          <t>Walk-in</t>
        </is>
      </c>
      <c r="H601" s="4" t="inlineStr">
        <is>
          <t>Facial cleansing</t>
        </is>
      </c>
      <c r="I601" s="9">
        <f>IF($H601="","",IFERROR(INDEX('Settings'!$J$10:$J$39,MATCH($H601,'Settings'!$I$10:$I$39,0)),""))</f>
        <v/>
      </c>
      <c r="J601" s="6" t="n">
        <v>1</v>
      </c>
      <c r="K601" s="8" t="n">
        <v>400</v>
      </c>
      <c r="L601" s="8" t="n"/>
      <c r="M601" s="14">
        <f>IF($A601="","",$J601*$K601)</f>
        <v/>
      </c>
      <c r="N601" s="14">
        <f>IF($A601="","",$M601-$L601)</f>
        <v/>
      </c>
      <c r="O601" s="4" t="inlineStr">
        <is>
          <t>Card</t>
        </is>
      </c>
      <c r="P601" s="15">
        <f>IF($A601="","",DATE(YEAR($A601),MONTH($A601),1))</f>
        <v/>
      </c>
      <c r="Q601" s="16">
        <f>IF($H601="","",$J601*IFERROR(INDEX('Settings'!$L$10:$L$39,MATCH($H601,'Settings'!$I$10:$I$39,0)),0))</f>
        <v/>
      </c>
      <c r="R601" s="17">
        <f>IF($A601="","",$A601-WEEKDAY($A601,2)+1)</f>
        <v/>
      </c>
    </row>
    <row r="602">
      <c r="A602" s="5" t="n">
        <v>46253</v>
      </c>
      <c r="B602" s="4" t="inlineStr">
        <is>
          <t>North branch</t>
        </is>
      </c>
      <c r="C602" s="4" t="inlineStr">
        <is>
          <t>North 2</t>
        </is>
      </c>
      <c r="D602" s="4" t="inlineStr">
        <is>
          <t>Dr Mohamed Adel</t>
        </is>
      </c>
      <c r="E602" s="4" t="inlineStr">
        <is>
          <t>P-2338</t>
        </is>
      </c>
      <c r="F602" s="4" t="inlineStr">
        <is>
          <t>New</t>
        </is>
      </c>
      <c r="G602" s="4" t="inlineStr">
        <is>
          <t>WhatsApp</t>
        </is>
      </c>
      <c r="H602" s="4" t="inlineStr">
        <is>
          <t>Skin tag removal</t>
        </is>
      </c>
      <c r="I602" s="9">
        <f>IF($H602="","",IFERROR(INDEX('Settings'!$J$10:$J$39,MATCH($H602,'Settings'!$I$10:$I$39,0)),""))</f>
        <v/>
      </c>
      <c r="J602" s="6" t="n">
        <v>1</v>
      </c>
      <c r="K602" s="8" t="n">
        <v>500</v>
      </c>
      <c r="L602" s="8" t="n"/>
      <c r="M602" s="14">
        <f>IF($A602="","",$J602*$K602)</f>
        <v/>
      </c>
      <c r="N602" s="14">
        <f>IF($A602="","",$M602-$L602)</f>
        <v/>
      </c>
      <c r="O602" s="4" t="inlineStr">
        <is>
          <t>Card</t>
        </is>
      </c>
      <c r="P602" s="15">
        <f>IF($A602="","",DATE(YEAR($A602),MONTH($A602),1))</f>
        <v/>
      </c>
      <c r="Q602" s="16">
        <f>IF($H602="","",$J602*IFERROR(INDEX('Settings'!$L$10:$L$39,MATCH($H602,'Settings'!$I$10:$I$39,0)),0))</f>
        <v/>
      </c>
      <c r="R602" s="17">
        <f>IF($A602="","",$A602-WEEKDAY($A602,2)+1)</f>
        <v/>
      </c>
    </row>
    <row r="603">
      <c r="A603" s="5" t="n">
        <v>46254</v>
      </c>
      <c r="B603" s="4" t="inlineStr">
        <is>
          <t>Main branch</t>
        </is>
      </c>
      <c r="C603" s="4" t="inlineStr">
        <is>
          <t>Main 2</t>
        </is>
      </c>
      <c r="D603" s="4" t="inlineStr">
        <is>
          <t>Dr Ahmed Mansour</t>
        </is>
      </c>
      <c r="E603" s="4" t="inlineStr">
        <is>
          <t>P-2928</t>
        </is>
      </c>
      <c r="F603" s="4" t="inlineStr">
        <is>
          <t>New</t>
        </is>
      </c>
      <c r="G603" s="4" t="inlineStr">
        <is>
          <t>Walk-in</t>
        </is>
      </c>
      <c r="H603" s="4" t="inlineStr">
        <is>
          <t>Facial cleansing</t>
        </is>
      </c>
      <c r="I603" s="9">
        <f>IF($H603="","",IFERROR(INDEX('Settings'!$J$10:$J$39,MATCH($H603,'Settings'!$I$10:$I$39,0)),""))</f>
        <v/>
      </c>
      <c r="J603" s="6" t="n">
        <v>1</v>
      </c>
      <c r="K603" s="8" t="n">
        <v>400</v>
      </c>
      <c r="L603" s="8" t="n"/>
      <c r="M603" s="14">
        <f>IF($A603="","",$J603*$K603)</f>
        <v/>
      </c>
      <c r="N603" s="14">
        <f>IF($A603="","",$M603-$L603)</f>
        <v/>
      </c>
      <c r="O603" s="4" t="inlineStr">
        <is>
          <t>Card</t>
        </is>
      </c>
      <c r="P603" s="15">
        <f>IF($A603="","",DATE(YEAR($A603),MONTH($A603),1))</f>
        <v/>
      </c>
      <c r="Q603" s="16">
        <f>IF($H603="","",$J603*IFERROR(INDEX('Settings'!$L$10:$L$39,MATCH($H603,'Settings'!$I$10:$I$39,0)),0))</f>
        <v/>
      </c>
      <c r="R603" s="17">
        <f>IF($A603="","",$A603-WEEKDAY($A603,2)+1)</f>
        <v/>
      </c>
    </row>
    <row r="604">
      <c r="A604" s="5" t="n">
        <v>46254</v>
      </c>
      <c r="B604" s="4" t="inlineStr">
        <is>
          <t>Main branch</t>
        </is>
      </c>
      <c r="C604" s="4" t="inlineStr">
        <is>
          <t>Main 2</t>
        </is>
      </c>
      <c r="D604" s="4" t="inlineStr">
        <is>
          <t>Dr Ahmed Mansour</t>
        </is>
      </c>
      <c r="E604" s="4" t="inlineStr">
        <is>
          <t>P-2177</t>
        </is>
      </c>
      <c r="F604" s="4" t="inlineStr">
        <is>
          <t>Returning</t>
        </is>
      </c>
      <c r="G604" s="4" t="inlineStr">
        <is>
          <t>Instagram</t>
        </is>
      </c>
      <c r="H604" s="4" t="inlineStr">
        <is>
          <t>Physiotherapy session</t>
        </is>
      </c>
      <c r="I604" s="9">
        <f>IF($H604="","",IFERROR(INDEX('Settings'!$J$10:$J$39,MATCH($H604,'Settings'!$I$10:$I$39,0)),""))</f>
        <v/>
      </c>
      <c r="J604" s="6" t="n">
        <v>1</v>
      </c>
      <c r="K604" s="8" t="n">
        <v>300</v>
      </c>
      <c r="L604" s="8" t="n"/>
      <c r="M604" s="14">
        <f>IF($A604="","",$J604*$K604)</f>
        <v/>
      </c>
      <c r="N604" s="14">
        <f>IF($A604="","",$M604-$L604)</f>
        <v/>
      </c>
      <c r="O604" s="4" t="inlineStr">
        <is>
          <t>Cash</t>
        </is>
      </c>
      <c r="P604" s="15">
        <f>IF($A604="","",DATE(YEAR($A604),MONTH($A604),1))</f>
        <v/>
      </c>
      <c r="Q604" s="16">
        <f>IF($H604="","",$J604*IFERROR(INDEX('Settings'!$L$10:$L$39,MATCH($H604,'Settings'!$I$10:$I$39,0)),0))</f>
        <v/>
      </c>
      <c r="R604" s="17">
        <f>IF($A604="","",$A604-WEEKDAY($A604,2)+1)</f>
        <v/>
      </c>
    </row>
    <row r="605">
      <c r="A605" s="5" t="n">
        <v>46254</v>
      </c>
      <c r="B605" s="4" t="inlineStr">
        <is>
          <t>Main branch</t>
        </is>
      </c>
      <c r="C605" s="4" t="inlineStr">
        <is>
          <t>Main 2</t>
        </is>
      </c>
      <c r="D605" s="4" t="inlineStr">
        <is>
          <t>Dr Sara Al Harbi</t>
        </is>
      </c>
      <c r="E605" s="4" t="inlineStr">
        <is>
          <t>P-3236</t>
        </is>
      </c>
      <c r="F605" s="4" t="inlineStr">
        <is>
          <t>Returning</t>
        </is>
      </c>
      <c r="G605" s="4" t="inlineStr">
        <is>
          <t>Google</t>
        </is>
      </c>
      <c r="H605" s="4" t="inlineStr">
        <is>
          <t>Specialist consultation</t>
        </is>
      </c>
      <c r="I605" s="9">
        <f>IF($H605="","",IFERROR(INDEX('Settings'!$J$10:$J$39,MATCH($H605,'Settings'!$I$10:$I$39,0)),""))</f>
        <v/>
      </c>
      <c r="J605" s="6" t="n">
        <v>1</v>
      </c>
      <c r="K605" s="8" t="n">
        <v>350</v>
      </c>
      <c r="L605" s="8" t="n"/>
      <c r="M605" s="14">
        <f>IF($A605="","",$J605*$K605)</f>
        <v/>
      </c>
      <c r="N605" s="14">
        <f>IF($A605="","",$M605-$L605)</f>
        <v/>
      </c>
      <c r="O605" s="4" t="inlineStr">
        <is>
          <t>Cash</t>
        </is>
      </c>
      <c r="P605" s="15">
        <f>IF($A605="","",DATE(YEAR($A605),MONTH($A605),1))</f>
        <v/>
      </c>
      <c r="Q605" s="16">
        <f>IF($H605="","",$J605*IFERROR(INDEX('Settings'!$L$10:$L$39,MATCH($H605,'Settings'!$I$10:$I$39,0)),0))</f>
        <v/>
      </c>
      <c r="R605" s="17">
        <f>IF($A605="","",$A605-WEEKDAY($A605,2)+1)</f>
        <v/>
      </c>
    </row>
    <row r="606">
      <c r="A606" s="5" t="n">
        <v>46254</v>
      </c>
      <c r="B606" s="4" t="inlineStr">
        <is>
          <t>Main branch</t>
        </is>
      </c>
      <c r="C606" s="4" t="inlineStr">
        <is>
          <t>Main 2</t>
        </is>
      </c>
      <c r="D606" s="4" t="inlineStr">
        <is>
          <t>Dr Ahmed Mansour</t>
        </is>
      </c>
      <c r="E606" s="4" t="inlineStr">
        <is>
          <t>P-2220</t>
        </is>
      </c>
      <c r="F606" s="4" t="inlineStr">
        <is>
          <t>Returning</t>
        </is>
      </c>
      <c r="G606" s="4" t="inlineStr">
        <is>
          <t>Walk-in</t>
        </is>
      </c>
      <c r="H606" s="4" t="inlineStr">
        <is>
          <t>Laser session, face</t>
        </is>
      </c>
      <c r="I606" s="9">
        <f>IF($H606="","",IFERROR(INDEX('Settings'!$J$10:$J$39,MATCH($H606,'Settings'!$I$10:$I$39,0)),""))</f>
        <v/>
      </c>
      <c r="J606" s="6" t="n">
        <v>1</v>
      </c>
      <c r="K606" s="8" t="n">
        <v>600</v>
      </c>
      <c r="L606" s="8" t="n">
        <v>60</v>
      </c>
      <c r="M606" s="14">
        <f>IF($A606="","",$J606*$K606)</f>
        <v/>
      </c>
      <c r="N606" s="14">
        <f>IF($A606="","",$M606-$L606)</f>
        <v/>
      </c>
      <c r="O606" s="4" t="inlineStr">
        <is>
          <t>Insurance</t>
        </is>
      </c>
      <c r="P606" s="15">
        <f>IF($A606="","",DATE(YEAR($A606),MONTH($A606),1))</f>
        <v/>
      </c>
      <c r="Q606" s="16">
        <f>IF($H606="","",$J606*IFERROR(INDEX('Settings'!$L$10:$L$39,MATCH($H606,'Settings'!$I$10:$I$39,0)),0))</f>
        <v/>
      </c>
      <c r="R606" s="17">
        <f>IF($A606="","",$A606-WEEKDAY($A606,2)+1)</f>
        <v/>
      </c>
    </row>
    <row r="607">
      <c r="A607" s="5" t="n">
        <v>46254</v>
      </c>
      <c r="B607" s="4" t="inlineStr">
        <is>
          <t>Main branch</t>
        </is>
      </c>
      <c r="C607" s="4" t="inlineStr">
        <is>
          <t>Main 2</t>
        </is>
      </c>
      <c r="D607" s="4" t="inlineStr">
        <is>
          <t>Dr Noura Al Subaie</t>
        </is>
      </c>
      <c r="E607" s="4" t="inlineStr">
        <is>
          <t>P-3108</t>
        </is>
      </c>
      <c r="F607" s="4" t="inlineStr">
        <is>
          <t>New</t>
        </is>
      </c>
      <c r="G607" s="4" t="inlineStr">
        <is>
          <t>Walk-in</t>
        </is>
      </c>
      <c r="H607" s="4" t="inlineStr">
        <is>
          <t>Physiotherapy session</t>
        </is>
      </c>
      <c r="I607" s="9">
        <f>IF($H607="","",IFERROR(INDEX('Settings'!$J$10:$J$39,MATCH($H607,'Settings'!$I$10:$I$39,0)),""))</f>
        <v/>
      </c>
      <c r="J607" s="6" t="n">
        <v>1</v>
      </c>
      <c r="K607" s="8" t="n">
        <v>300</v>
      </c>
      <c r="L607" s="8" t="n"/>
      <c r="M607" s="14">
        <f>IF($A607="","",$J607*$K607)</f>
        <v/>
      </c>
      <c r="N607" s="14">
        <f>IF($A607="","",$M607-$L607)</f>
        <v/>
      </c>
      <c r="O607" s="4" t="inlineStr">
        <is>
          <t>Card</t>
        </is>
      </c>
      <c r="P607" s="15">
        <f>IF($A607="","",DATE(YEAR($A607),MONTH($A607),1))</f>
        <v/>
      </c>
      <c r="Q607" s="16">
        <f>IF($H607="","",$J607*IFERROR(INDEX('Settings'!$L$10:$L$39,MATCH($H607,'Settings'!$I$10:$I$39,0)),0))</f>
        <v/>
      </c>
      <c r="R607" s="17">
        <f>IF($A607="","",$A607-WEEKDAY($A607,2)+1)</f>
        <v/>
      </c>
    </row>
    <row r="608">
      <c r="A608" s="5" t="n">
        <v>46254</v>
      </c>
      <c r="B608" s="4" t="inlineStr">
        <is>
          <t>Main branch</t>
        </is>
      </c>
      <c r="C608" s="4" t="inlineStr">
        <is>
          <t>Main 2</t>
        </is>
      </c>
      <c r="D608" s="4" t="inlineStr">
        <is>
          <t>Dr Noura Al Subaie</t>
        </is>
      </c>
      <c r="E608" s="4" t="inlineStr">
        <is>
          <t>P-2901</t>
        </is>
      </c>
      <c r="F608" s="4" t="inlineStr">
        <is>
          <t>Returning</t>
        </is>
      </c>
      <c r="G608" s="4" t="inlineStr">
        <is>
          <t>Google</t>
        </is>
      </c>
      <c r="H608" s="4" t="inlineStr">
        <is>
          <t>Botulinum toxin</t>
        </is>
      </c>
      <c r="I608" s="9">
        <f>IF($H608="","",IFERROR(INDEX('Settings'!$J$10:$J$39,MATCH($H608,'Settings'!$I$10:$I$39,0)),""))</f>
        <v/>
      </c>
      <c r="J608" s="6" t="n">
        <v>1</v>
      </c>
      <c r="K608" s="8" t="n">
        <v>1500</v>
      </c>
      <c r="L608" s="8" t="n">
        <v>150</v>
      </c>
      <c r="M608" s="14">
        <f>IF($A608="","",$J608*$K608)</f>
        <v/>
      </c>
      <c r="N608" s="14">
        <f>IF($A608="","",$M608-$L608)</f>
        <v/>
      </c>
      <c r="O608" s="4" t="inlineStr">
        <is>
          <t>Card</t>
        </is>
      </c>
      <c r="P608" s="15">
        <f>IF($A608="","",DATE(YEAR($A608),MONTH($A608),1))</f>
        <v/>
      </c>
      <c r="Q608" s="16">
        <f>IF($H608="","",$J608*IFERROR(INDEX('Settings'!$L$10:$L$39,MATCH($H608,'Settings'!$I$10:$I$39,0)),0))</f>
        <v/>
      </c>
      <c r="R608" s="17">
        <f>IF($A608="","",$A608-WEEKDAY($A608,2)+1)</f>
        <v/>
      </c>
    </row>
    <row r="609">
      <c r="A609" s="5" t="n">
        <v>46254</v>
      </c>
      <c r="B609" s="4" t="inlineStr">
        <is>
          <t>Main branch</t>
        </is>
      </c>
      <c r="C609" s="4" t="inlineStr">
        <is>
          <t>Main 4</t>
        </is>
      </c>
      <c r="D609" s="4" t="inlineStr">
        <is>
          <t>Dr Sara Al Harbi</t>
        </is>
      </c>
      <c r="E609" s="4" t="inlineStr">
        <is>
          <t>P-2168</t>
        </is>
      </c>
      <c r="F609" s="4" t="inlineStr">
        <is>
          <t>New</t>
        </is>
      </c>
      <c r="G609" s="4" t="inlineStr">
        <is>
          <t>Instagram</t>
        </is>
      </c>
      <c r="H609" s="4" t="inlineStr">
        <is>
          <t>Specialist consultation</t>
        </is>
      </c>
      <c r="I609" s="9">
        <f>IF($H609="","",IFERROR(INDEX('Settings'!$J$10:$J$39,MATCH($H609,'Settings'!$I$10:$I$39,0)),""))</f>
        <v/>
      </c>
      <c r="J609" s="6" t="n">
        <v>1</v>
      </c>
      <c r="K609" s="8" t="n">
        <v>350</v>
      </c>
      <c r="L609" s="8" t="n"/>
      <c r="M609" s="14">
        <f>IF($A609="","",$J609*$K609)</f>
        <v/>
      </c>
      <c r="N609" s="14">
        <f>IF($A609="","",$M609-$L609)</f>
        <v/>
      </c>
      <c r="O609" s="4" t="inlineStr">
        <is>
          <t>Payment link</t>
        </is>
      </c>
      <c r="P609" s="15">
        <f>IF($A609="","",DATE(YEAR($A609),MONTH($A609),1))</f>
        <v/>
      </c>
      <c r="Q609" s="16">
        <f>IF($H609="","",$J609*IFERROR(INDEX('Settings'!$L$10:$L$39,MATCH($H609,'Settings'!$I$10:$I$39,0)),0))</f>
        <v/>
      </c>
      <c r="R609" s="17">
        <f>IF($A609="","",$A609-WEEKDAY($A609,2)+1)</f>
        <v/>
      </c>
    </row>
    <row r="610">
      <c r="A610" s="5" t="n">
        <v>46254</v>
      </c>
      <c r="B610" s="4" t="inlineStr">
        <is>
          <t>Main branch</t>
        </is>
      </c>
      <c r="C610" s="4" t="inlineStr">
        <is>
          <t>Main 4</t>
        </is>
      </c>
      <c r="D610" s="4" t="inlineStr">
        <is>
          <t>Dr Sara Al Harbi</t>
        </is>
      </c>
      <c r="E610" s="4" t="inlineStr">
        <is>
          <t>P-3250</t>
        </is>
      </c>
      <c r="F610" s="4" t="inlineStr">
        <is>
          <t>Returning</t>
        </is>
      </c>
      <c r="G610" s="4" t="inlineStr">
        <is>
          <t>Google</t>
        </is>
      </c>
      <c r="H610" s="4" t="inlineStr">
        <is>
          <t>Follow-up visit</t>
        </is>
      </c>
      <c r="I610" s="9">
        <f>IF($H610="","",IFERROR(INDEX('Settings'!$J$10:$J$39,MATCH($H610,'Settings'!$I$10:$I$39,0)),""))</f>
        <v/>
      </c>
      <c r="J610" s="6" t="n">
        <v>1</v>
      </c>
      <c r="K610" s="8" t="n">
        <v>150</v>
      </c>
      <c r="L610" s="8" t="n"/>
      <c r="M610" s="14">
        <f>IF($A610="","",$J610*$K610)</f>
        <v/>
      </c>
      <c r="N610" s="14">
        <f>IF($A610="","",$M610-$L610)</f>
        <v/>
      </c>
      <c r="O610" s="4" t="inlineStr">
        <is>
          <t>Card</t>
        </is>
      </c>
      <c r="P610" s="15">
        <f>IF($A610="","",DATE(YEAR($A610),MONTH($A610),1))</f>
        <v/>
      </c>
      <c r="Q610" s="16">
        <f>IF($H610="","",$J610*IFERROR(INDEX('Settings'!$L$10:$L$39,MATCH($H610,'Settings'!$I$10:$I$39,0)),0))</f>
        <v/>
      </c>
      <c r="R610" s="17">
        <f>IF($A610="","",$A610-WEEKDAY($A610,2)+1)</f>
        <v/>
      </c>
    </row>
    <row r="611">
      <c r="A611" s="5" t="n">
        <v>46254</v>
      </c>
      <c r="B611" s="4" t="inlineStr">
        <is>
          <t>North branch</t>
        </is>
      </c>
      <c r="C611" s="4" t="inlineStr">
        <is>
          <t>North 1</t>
        </is>
      </c>
      <c r="D611" s="4" t="inlineStr">
        <is>
          <t>Dr Khaled Youssef</t>
        </is>
      </c>
      <c r="E611" s="4" t="inlineStr">
        <is>
          <t>P-2795</t>
        </is>
      </c>
      <c r="F611" s="4" t="inlineStr">
        <is>
          <t>Returning</t>
        </is>
      </c>
      <c r="G611" s="4" t="inlineStr">
        <is>
          <t>Instagram</t>
        </is>
      </c>
      <c r="H611" s="4" t="inlineStr">
        <is>
          <t>Filler injection</t>
        </is>
      </c>
      <c r="I611" s="9">
        <f>IF($H611="","",IFERROR(INDEX('Settings'!$J$10:$J$39,MATCH($H611,'Settings'!$I$10:$I$39,0)),""))</f>
        <v/>
      </c>
      <c r="J611" s="6" t="n">
        <v>1</v>
      </c>
      <c r="K611" s="8" t="n">
        <v>1800</v>
      </c>
      <c r="L611" s="8" t="n"/>
      <c r="M611" s="14">
        <f>IF($A611="","",$J611*$K611)</f>
        <v/>
      </c>
      <c r="N611" s="14">
        <f>IF($A611="","",$M611-$L611)</f>
        <v/>
      </c>
      <c r="O611" s="4" t="inlineStr">
        <is>
          <t>Transfer</t>
        </is>
      </c>
      <c r="P611" s="15">
        <f>IF($A611="","",DATE(YEAR($A611),MONTH($A611),1))</f>
        <v/>
      </c>
      <c r="Q611" s="16">
        <f>IF($H611="","",$J611*IFERROR(INDEX('Settings'!$L$10:$L$39,MATCH($H611,'Settings'!$I$10:$I$39,0)),0))</f>
        <v/>
      </c>
      <c r="R611" s="17">
        <f>IF($A611="","",$A611-WEEKDAY($A611,2)+1)</f>
        <v/>
      </c>
    </row>
    <row r="612">
      <c r="A612" s="5" t="n">
        <v>46254</v>
      </c>
      <c r="B612" s="4" t="inlineStr">
        <is>
          <t>North branch</t>
        </is>
      </c>
      <c r="C612" s="4" t="inlineStr">
        <is>
          <t>North 1</t>
        </is>
      </c>
      <c r="D612" s="4" t="inlineStr">
        <is>
          <t>Dr Mohamed Adel</t>
        </is>
      </c>
      <c r="E612" s="4" t="inlineStr">
        <is>
          <t>P-2521</t>
        </is>
      </c>
      <c r="F612" s="4" t="inlineStr">
        <is>
          <t>Returning</t>
        </is>
      </c>
      <c r="G612" s="4" t="inlineStr">
        <is>
          <t>Google</t>
        </is>
      </c>
      <c r="H612" s="4" t="inlineStr">
        <is>
          <t>Chemical peel</t>
        </is>
      </c>
      <c r="I612" s="9">
        <f>IF($H612="","",IFERROR(INDEX('Settings'!$J$10:$J$39,MATCH($H612,'Settings'!$I$10:$I$39,0)),""))</f>
        <v/>
      </c>
      <c r="J612" s="6" t="n">
        <v>1</v>
      </c>
      <c r="K612" s="8" t="n">
        <v>800</v>
      </c>
      <c r="L612" s="8" t="n"/>
      <c r="M612" s="14">
        <f>IF($A612="","",$J612*$K612)</f>
        <v/>
      </c>
      <c r="N612" s="14">
        <f>IF($A612="","",$M612-$L612)</f>
        <v/>
      </c>
      <c r="O612" s="4" t="inlineStr">
        <is>
          <t>Transfer</t>
        </is>
      </c>
      <c r="P612" s="15">
        <f>IF($A612="","",DATE(YEAR($A612),MONTH($A612),1))</f>
        <v/>
      </c>
      <c r="Q612" s="16">
        <f>IF($H612="","",$J612*IFERROR(INDEX('Settings'!$L$10:$L$39,MATCH($H612,'Settings'!$I$10:$I$39,0)),0))</f>
        <v/>
      </c>
      <c r="R612" s="17">
        <f>IF($A612="","",$A612-WEEKDAY($A612,2)+1)</f>
        <v/>
      </c>
    </row>
    <row r="613">
      <c r="A613" s="5" t="n">
        <v>46254</v>
      </c>
      <c r="B613" s="4" t="inlineStr">
        <is>
          <t>North branch</t>
        </is>
      </c>
      <c r="C613" s="4" t="inlineStr">
        <is>
          <t>North 1</t>
        </is>
      </c>
      <c r="D613" s="4" t="inlineStr">
        <is>
          <t>Dr Layla Al Qahtani</t>
        </is>
      </c>
      <c r="E613" s="4" t="inlineStr">
        <is>
          <t>P-2191</t>
        </is>
      </c>
      <c r="F613" s="4" t="inlineStr">
        <is>
          <t>Returning</t>
        </is>
      </c>
      <c r="G613" s="4" t="inlineStr">
        <is>
          <t>Referral</t>
        </is>
      </c>
      <c r="H613" s="4" t="inlineStr">
        <is>
          <t>Specialist consultation</t>
        </is>
      </c>
      <c r="I613" s="9">
        <f>IF($H613="","",IFERROR(INDEX('Settings'!$J$10:$J$39,MATCH($H613,'Settings'!$I$10:$I$39,0)),""))</f>
        <v/>
      </c>
      <c r="J613" s="6" t="n">
        <v>1</v>
      </c>
      <c r="K613" s="8" t="n">
        <v>350</v>
      </c>
      <c r="L613" s="8" t="n"/>
      <c r="M613" s="14">
        <f>IF($A613="","",$J613*$K613)</f>
        <v/>
      </c>
      <c r="N613" s="14">
        <f>IF($A613="","",$M613-$L613)</f>
        <v/>
      </c>
      <c r="O613" s="4" t="inlineStr">
        <is>
          <t>Cash</t>
        </is>
      </c>
      <c r="P613" s="15">
        <f>IF($A613="","",DATE(YEAR($A613),MONTH($A613),1))</f>
        <v/>
      </c>
      <c r="Q613" s="16">
        <f>IF($H613="","",$J613*IFERROR(INDEX('Settings'!$L$10:$L$39,MATCH($H613,'Settings'!$I$10:$I$39,0)),0))</f>
        <v/>
      </c>
      <c r="R613" s="17">
        <f>IF($A613="","",$A613-WEEKDAY($A613,2)+1)</f>
        <v/>
      </c>
    </row>
    <row r="614">
      <c r="A614" s="5" t="n">
        <v>46254</v>
      </c>
      <c r="B614" s="4" t="inlineStr">
        <is>
          <t>North branch</t>
        </is>
      </c>
      <c r="C614" s="4" t="inlineStr">
        <is>
          <t>North 2</t>
        </is>
      </c>
      <c r="D614" s="4" t="inlineStr">
        <is>
          <t>Dr Khaled Youssef</t>
        </is>
      </c>
      <c r="E614" s="4" t="inlineStr">
        <is>
          <t>P-2270</t>
        </is>
      </c>
      <c r="F614" s="4" t="inlineStr">
        <is>
          <t>New</t>
        </is>
      </c>
      <c r="G614" s="4" t="inlineStr">
        <is>
          <t>Instagram</t>
        </is>
      </c>
      <c r="H614" s="4" t="inlineStr">
        <is>
          <t>Specialist consultation</t>
        </is>
      </c>
      <c r="I614" s="9">
        <f>IF($H614="","",IFERROR(INDEX('Settings'!$J$10:$J$39,MATCH($H614,'Settings'!$I$10:$I$39,0)),""))</f>
        <v/>
      </c>
      <c r="J614" s="6" t="n">
        <v>1</v>
      </c>
      <c r="K614" s="8" t="n">
        <v>350</v>
      </c>
      <c r="L614" s="8" t="n"/>
      <c r="M614" s="14">
        <f>IF($A614="","",$J614*$K614)</f>
        <v/>
      </c>
      <c r="N614" s="14">
        <f>IF($A614="","",$M614-$L614)</f>
        <v/>
      </c>
      <c r="O614" s="4" t="inlineStr">
        <is>
          <t>Cash</t>
        </is>
      </c>
      <c r="P614" s="15">
        <f>IF($A614="","",DATE(YEAR($A614),MONTH($A614),1))</f>
        <v/>
      </c>
      <c r="Q614" s="16">
        <f>IF($H614="","",$J614*IFERROR(INDEX('Settings'!$L$10:$L$39,MATCH($H614,'Settings'!$I$10:$I$39,0)),0))</f>
        <v/>
      </c>
      <c r="R614" s="17">
        <f>IF($A614="","",$A614-WEEKDAY($A614,2)+1)</f>
        <v/>
      </c>
    </row>
    <row r="615">
      <c r="A615" s="5" t="n">
        <v>46256</v>
      </c>
      <c r="B615" s="4" t="inlineStr">
        <is>
          <t>Main branch</t>
        </is>
      </c>
      <c r="C615" s="4" t="inlineStr">
        <is>
          <t>Main 1</t>
        </is>
      </c>
      <c r="D615" s="4" t="inlineStr">
        <is>
          <t>Dr Ahmed Mansour</t>
        </is>
      </c>
      <c r="E615" s="4" t="inlineStr">
        <is>
          <t>P-2139</t>
        </is>
      </c>
      <c r="F615" s="4" t="inlineStr">
        <is>
          <t>Returning</t>
        </is>
      </c>
      <c r="G615" s="4" t="inlineStr">
        <is>
          <t>WhatsApp</t>
        </is>
      </c>
      <c r="H615" s="4" t="inlineStr">
        <is>
          <t>Chemical peel</t>
        </is>
      </c>
      <c r="I615" s="9">
        <f>IF($H615="","",IFERROR(INDEX('Settings'!$J$10:$J$39,MATCH($H615,'Settings'!$I$10:$I$39,0)),""))</f>
        <v/>
      </c>
      <c r="J615" s="6" t="n">
        <v>1</v>
      </c>
      <c r="K615" s="8" t="n">
        <v>800</v>
      </c>
      <c r="L615" s="8" t="n">
        <v>40</v>
      </c>
      <c r="M615" s="14">
        <f>IF($A615="","",$J615*$K615)</f>
        <v/>
      </c>
      <c r="N615" s="14">
        <f>IF($A615="","",$M615-$L615)</f>
        <v/>
      </c>
      <c r="O615" s="4" t="inlineStr">
        <is>
          <t>Card</t>
        </is>
      </c>
      <c r="P615" s="15">
        <f>IF($A615="","",DATE(YEAR($A615),MONTH($A615),1))</f>
        <v/>
      </c>
      <c r="Q615" s="16">
        <f>IF($H615="","",$J615*IFERROR(INDEX('Settings'!$L$10:$L$39,MATCH($H615,'Settings'!$I$10:$I$39,0)),0))</f>
        <v/>
      </c>
      <c r="R615" s="17">
        <f>IF($A615="","",$A615-WEEKDAY($A615,2)+1)</f>
        <v/>
      </c>
    </row>
    <row r="616">
      <c r="A616" s="5" t="n">
        <v>46256</v>
      </c>
      <c r="B616" s="4" t="inlineStr">
        <is>
          <t>Main branch</t>
        </is>
      </c>
      <c r="C616" s="4" t="inlineStr">
        <is>
          <t>Main 1</t>
        </is>
      </c>
      <c r="D616" s="4" t="inlineStr">
        <is>
          <t>Dr Sara Al Harbi</t>
        </is>
      </c>
      <c r="E616" s="4" t="inlineStr">
        <is>
          <t>P-2755</t>
        </is>
      </c>
      <c r="F616" s="4" t="inlineStr">
        <is>
          <t>Returning</t>
        </is>
      </c>
      <c r="G616" s="4" t="inlineStr">
        <is>
          <t>Walk-in</t>
        </is>
      </c>
      <c r="H616" s="4" t="inlineStr">
        <is>
          <t>Skin tag removal</t>
        </is>
      </c>
      <c r="I616" s="9">
        <f>IF($H616="","",IFERROR(INDEX('Settings'!$J$10:$J$39,MATCH($H616,'Settings'!$I$10:$I$39,0)),""))</f>
        <v/>
      </c>
      <c r="J616" s="6" t="n">
        <v>1</v>
      </c>
      <c r="K616" s="8" t="n">
        <v>500</v>
      </c>
      <c r="L616" s="8" t="n"/>
      <c r="M616" s="14">
        <f>IF($A616="","",$J616*$K616)</f>
        <v/>
      </c>
      <c r="N616" s="14">
        <f>IF($A616="","",$M616-$L616)</f>
        <v/>
      </c>
      <c r="O616" s="4" t="inlineStr">
        <is>
          <t>Cash</t>
        </is>
      </c>
      <c r="P616" s="15">
        <f>IF($A616="","",DATE(YEAR($A616),MONTH($A616),1))</f>
        <v/>
      </c>
      <c r="Q616" s="16">
        <f>IF($H616="","",$J616*IFERROR(INDEX('Settings'!$L$10:$L$39,MATCH($H616,'Settings'!$I$10:$I$39,0)),0))</f>
        <v/>
      </c>
      <c r="R616" s="17">
        <f>IF($A616="","",$A616-WEEKDAY($A616,2)+1)</f>
        <v/>
      </c>
    </row>
    <row r="617">
      <c r="A617" s="5" t="n">
        <v>46256</v>
      </c>
      <c r="B617" s="4" t="inlineStr">
        <is>
          <t>Main branch</t>
        </is>
      </c>
      <c r="C617" s="4" t="inlineStr">
        <is>
          <t>Main 1</t>
        </is>
      </c>
      <c r="D617" s="4" t="inlineStr">
        <is>
          <t>Dr Ahmed Mansour</t>
        </is>
      </c>
      <c r="E617" s="4" t="inlineStr">
        <is>
          <t>P-3470</t>
        </is>
      </c>
      <c r="F617" s="4" t="inlineStr">
        <is>
          <t>New</t>
        </is>
      </c>
      <c r="G617" s="4" t="inlineStr">
        <is>
          <t>WhatsApp</t>
        </is>
      </c>
      <c r="H617" s="4" t="inlineStr">
        <is>
          <t>Laser session, face</t>
        </is>
      </c>
      <c r="I617" s="9">
        <f>IF($H617="","",IFERROR(INDEX('Settings'!$J$10:$J$39,MATCH($H617,'Settings'!$I$10:$I$39,0)),""))</f>
        <v/>
      </c>
      <c r="J617" s="6" t="n">
        <v>1</v>
      </c>
      <c r="K617" s="8" t="n">
        <v>600</v>
      </c>
      <c r="L617" s="8" t="n">
        <v>60</v>
      </c>
      <c r="M617" s="14">
        <f>IF($A617="","",$J617*$K617)</f>
        <v/>
      </c>
      <c r="N617" s="14">
        <f>IF($A617="","",$M617-$L617)</f>
        <v/>
      </c>
      <c r="O617" s="4" t="inlineStr">
        <is>
          <t>Cash</t>
        </is>
      </c>
      <c r="P617" s="15">
        <f>IF($A617="","",DATE(YEAR($A617),MONTH($A617),1))</f>
        <v/>
      </c>
      <c r="Q617" s="16">
        <f>IF($H617="","",$J617*IFERROR(INDEX('Settings'!$L$10:$L$39,MATCH($H617,'Settings'!$I$10:$I$39,0)),0))</f>
        <v/>
      </c>
      <c r="R617" s="17">
        <f>IF($A617="","",$A617-WEEKDAY($A617,2)+1)</f>
        <v/>
      </c>
    </row>
    <row r="618">
      <c r="A618" s="5" t="n">
        <v>46256</v>
      </c>
      <c r="B618" s="4" t="inlineStr">
        <is>
          <t>Main branch</t>
        </is>
      </c>
      <c r="C618" s="4" t="inlineStr">
        <is>
          <t>Main 2</t>
        </is>
      </c>
      <c r="D618" s="4" t="inlineStr">
        <is>
          <t>Dr Ahmed Mansour</t>
        </is>
      </c>
      <c r="E618" s="4" t="inlineStr">
        <is>
          <t>P-2187</t>
        </is>
      </c>
      <c r="F618" s="4" t="inlineStr">
        <is>
          <t>Returning</t>
        </is>
      </c>
      <c r="G618" s="4" t="inlineStr">
        <is>
          <t>Referral</t>
        </is>
      </c>
      <c r="H618" s="4" t="inlineStr">
        <is>
          <t>Facial cleansing</t>
        </is>
      </c>
      <c r="I618" s="9">
        <f>IF($H618="","",IFERROR(INDEX('Settings'!$J$10:$J$39,MATCH($H618,'Settings'!$I$10:$I$39,0)),""))</f>
        <v/>
      </c>
      <c r="J618" s="6" t="n">
        <v>1</v>
      </c>
      <c r="K618" s="8" t="n">
        <v>400</v>
      </c>
      <c r="L618" s="8" t="n"/>
      <c r="M618" s="14">
        <f>IF($A618="","",$J618*$K618)</f>
        <v/>
      </c>
      <c r="N618" s="14">
        <f>IF($A618="","",$M618-$L618)</f>
        <v/>
      </c>
      <c r="O618" s="4" t="inlineStr">
        <is>
          <t>Insurance</t>
        </is>
      </c>
      <c r="P618" s="15">
        <f>IF($A618="","",DATE(YEAR($A618),MONTH($A618),1))</f>
        <v/>
      </c>
      <c r="Q618" s="16">
        <f>IF($H618="","",$J618*IFERROR(INDEX('Settings'!$L$10:$L$39,MATCH($H618,'Settings'!$I$10:$I$39,0)),0))</f>
        <v/>
      </c>
      <c r="R618" s="17">
        <f>IF($A618="","",$A618-WEEKDAY($A618,2)+1)</f>
        <v/>
      </c>
    </row>
    <row r="619">
      <c r="A619" s="5" t="n">
        <v>46256</v>
      </c>
      <c r="B619" s="4" t="inlineStr">
        <is>
          <t>Main branch</t>
        </is>
      </c>
      <c r="C619" s="4" t="inlineStr">
        <is>
          <t>Main 2</t>
        </is>
      </c>
      <c r="D619" s="4" t="inlineStr">
        <is>
          <t>Dr Noura Al Subaie</t>
        </is>
      </c>
      <c r="E619" s="4" t="inlineStr">
        <is>
          <t>P-3124</t>
        </is>
      </c>
      <c r="F619" s="4" t="inlineStr">
        <is>
          <t>Returning</t>
        </is>
      </c>
      <c r="G619" s="4" t="inlineStr">
        <is>
          <t>Instagram</t>
        </is>
      </c>
      <c r="H619" s="4" t="inlineStr">
        <is>
          <t>Sunscreen cream</t>
        </is>
      </c>
      <c r="I619" s="9">
        <f>IF($H619="","",IFERROR(INDEX('Settings'!$J$10:$J$39,MATCH($H619,'Settings'!$I$10:$I$39,0)),""))</f>
        <v/>
      </c>
      <c r="J619" s="6" t="n">
        <v>2</v>
      </c>
      <c r="K619" s="8" t="n">
        <v>120</v>
      </c>
      <c r="L619" s="8" t="n"/>
      <c r="M619" s="14">
        <f>IF($A619="","",$J619*$K619)</f>
        <v/>
      </c>
      <c r="N619" s="14">
        <f>IF($A619="","",$M619-$L619)</f>
        <v/>
      </c>
      <c r="O619" s="4" t="inlineStr">
        <is>
          <t>Payment link</t>
        </is>
      </c>
      <c r="P619" s="15">
        <f>IF($A619="","",DATE(YEAR($A619),MONTH($A619),1))</f>
        <v/>
      </c>
      <c r="Q619" s="16">
        <f>IF($H619="","",$J619*IFERROR(INDEX('Settings'!$L$10:$L$39,MATCH($H619,'Settings'!$I$10:$I$39,0)),0))</f>
        <v/>
      </c>
      <c r="R619" s="17">
        <f>IF($A619="","",$A619-WEEKDAY($A619,2)+1)</f>
        <v/>
      </c>
    </row>
    <row r="620">
      <c r="A620" s="5" t="n">
        <v>46256</v>
      </c>
      <c r="B620" s="4" t="inlineStr">
        <is>
          <t>Main branch</t>
        </is>
      </c>
      <c r="C620" s="4" t="inlineStr">
        <is>
          <t>Main 2</t>
        </is>
      </c>
      <c r="D620" s="4" t="inlineStr">
        <is>
          <t>Dr Sara Al Harbi</t>
        </is>
      </c>
      <c r="E620" s="4" t="inlineStr">
        <is>
          <t>P-3350</t>
        </is>
      </c>
      <c r="F620" s="4" t="inlineStr">
        <is>
          <t>New</t>
        </is>
      </c>
      <c r="G620" s="4" t="inlineStr">
        <is>
          <t>Instagram</t>
        </is>
      </c>
      <c r="H620" s="4" t="inlineStr">
        <is>
          <t>Specialist consultation</t>
        </is>
      </c>
      <c r="I620" s="9">
        <f>IF($H620="","",IFERROR(INDEX('Settings'!$J$10:$J$39,MATCH($H620,'Settings'!$I$10:$I$39,0)),""))</f>
        <v/>
      </c>
      <c r="J620" s="6" t="n">
        <v>1</v>
      </c>
      <c r="K620" s="8" t="n">
        <v>350</v>
      </c>
      <c r="L620" s="8" t="n"/>
      <c r="M620" s="14">
        <f>IF($A620="","",$J620*$K620)</f>
        <v/>
      </c>
      <c r="N620" s="14">
        <f>IF($A620="","",$M620-$L620)</f>
        <v/>
      </c>
      <c r="O620" s="4" t="inlineStr">
        <is>
          <t>Cash</t>
        </is>
      </c>
      <c r="P620" s="15">
        <f>IF($A620="","",DATE(YEAR($A620),MONTH($A620),1))</f>
        <v/>
      </c>
      <c r="Q620" s="16">
        <f>IF($H620="","",$J620*IFERROR(INDEX('Settings'!$L$10:$L$39,MATCH($H620,'Settings'!$I$10:$I$39,0)),0))</f>
        <v/>
      </c>
      <c r="R620" s="17">
        <f>IF($A620="","",$A620-WEEKDAY($A620,2)+1)</f>
        <v/>
      </c>
    </row>
    <row r="621">
      <c r="A621" s="5" t="n">
        <v>46256</v>
      </c>
      <c r="B621" s="4" t="inlineStr">
        <is>
          <t>Main branch</t>
        </is>
      </c>
      <c r="C621" s="4" t="inlineStr">
        <is>
          <t>Main 2</t>
        </is>
      </c>
      <c r="D621" s="4" t="inlineStr">
        <is>
          <t>Dr Sara Al Harbi</t>
        </is>
      </c>
      <c r="E621" s="4" t="inlineStr">
        <is>
          <t>P-2856</t>
        </is>
      </c>
      <c r="F621" s="4" t="inlineStr">
        <is>
          <t>Returning</t>
        </is>
      </c>
      <c r="G621" s="4" t="inlineStr">
        <is>
          <t>Walk-in</t>
        </is>
      </c>
      <c r="H621" s="4" t="inlineStr">
        <is>
          <t>Follow-up visit</t>
        </is>
      </c>
      <c r="I621" s="9">
        <f>IF($H621="","",IFERROR(INDEX('Settings'!$J$10:$J$39,MATCH($H621,'Settings'!$I$10:$I$39,0)),""))</f>
        <v/>
      </c>
      <c r="J621" s="6" t="n">
        <v>1</v>
      </c>
      <c r="K621" s="8" t="n">
        <v>150</v>
      </c>
      <c r="L621" s="8" t="n"/>
      <c r="M621" s="14">
        <f>IF($A621="","",$J621*$K621)</f>
        <v/>
      </c>
      <c r="N621" s="14">
        <f>IF($A621="","",$M621-$L621)</f>
        <v/>
      </c>
      <c r="O621" s="4" t="inlineStr">
        <is>
          <t>Insurance</t>
        </is>
      </c>
      <c r="P621" s="15">
        <f>IF($A621="","",DATE(YEAR($A621),MONTH($A621),1))</f>
        <v/>
      </c>
      <c r="Q621" s="16">
        <f>IF($H621="","",$J621*IFERROR(INDEX('Settings'!$L$10:$L$39,MATCH($H621,'Settings'!$I$10:$I$39,0)),0))</f>
        <v/>
      </c>
      <c r="R621" s="17">
        <f>IF($A621="","",$A621-WEEKDAY($A621,2)+1)</f>
        <v/>
      </c>
    </row>
    <row r="622">
      <c r="A622" s="5" t="n">
        <v>46256</v>
      </c>
      <c r="B622" s="4" t="inlineStr">
        <is>
          <t>Main branch</t>
        </is>
      </c>
      <c r="C622" s="4" t="inlineStr">
        <is>
          <t>Main 3</t>
        </is>
      </c>
      <c r="D622" s="4" t="inlineStr">
        <is>
          <t>Dr Sara Al Harbi</t>
        </is>
      </c>
      <c r="E622" s="4" t="inlineStr">
        <is>
          <t>P-2238</t>
        </is>
      </c>
      <c r="F622" s="4" t="inlineStr">
        <is>
          <t>Returning</t>
        </is>
      </c>
      <c r="G622" s="4" t="inlineStr">
        <is>
          <t>WhatsApp</t>
        </is>
      </c>
      <c r="H622" s="4" t="inlineStr">
        <is>
          <t>Botulinum toxin</t>
        </is>
      </c>
      <c r="I622" s="9">
        <f>IF($H622="","",IFERROR(INDEX('Settings'!$J$10:$J$39,MATCH($H622,'Settings'!$I$10:$I$39,0)),""))</f>
        <v/>
      </c>
      <c r="J622" s="6" t="n">
        <v>1</v>
      </c>
      <c r="K622" s="8" t="n">
        <v>1500</v>
      </c>
      <c r="L622" s="8" t="n"/>
      <c r="M622" s="14">
        <f>IF($A622="","",$J622*$K622)</f>
        <v/>
      </c>
      <c r="N622" s="14">
        <f>IF($A622="","",$M622-$L622)</f>
        <v/>
      </c>
      <c r="O622" s="4" t="inlineStr">
        <is>
          <t>Payment link</t>
        </is>
      </c>
      <c r="P622" s="15">
        <f>IF($A622="","",DATE(YEAR($A622),MONTH($A622),1))</f>
        <v/>
      </c>
      <c r="Q622" s="16">
        <f>IF($H622="","",$J622*IFERROR(INDEX('Settings'!$L$10:$L$39,MATCH($H622,'Settings'!$I$10:$I$39,0)),0))</f>
        <v/>
      </c>
      <c r="R622" s="17">
        <f>IF($A622="","",$A622-WEEKDAY($A622,2)+1)</f>
        <v/>
      </c>
    </row>
    <row r="623">
      <c r="A623" s="5" t="n">
        <v>46256</v>
      </c>
      <c r="B623" s="4" t="inlineStr">
        <is>
          <t>Main branch</t>
        </is>
      </c>
      <c r="C623" s="4" t="inlineStr">
        <is>
          <t>Main 3</t>
        </is>
      </c>
      <c r="D623" s="4" t="inlineStr">
        <is>
          <t>Dr Ahmed Mansour</t>
        </is>
      </c>
      <c r="E623" s="4" t="inlineStr">
        <is>
          <t>P-3397</t>
        </is>
      </c>
      <c r="F623" s="4" t="inlineStr">
        <is>
          <t>Returning</t>
        </is>
      </c>
      <c r="G623" s="4" t="inlineStr">
        <is>
          <t>Referral</t>
        </is>
      </c>
      <c r="H623" s="4" t="inlineStr">
        <is>
          <t>Facial cleansing</t>
        </is>
      </c>
      <c r="I623" s="9">
        <f>IF($H623="","",IFERROR(INDEX('Settings'!$J$10:$J$39,MATCH($H623,'Settings'!$I$10:$I$39,0)),""))</f>
        <v/>
      </c>
      <c r="J623" s="6" t="n">
        <v>1</v>
      </c>
      <c r="K623" s="8" t="n">
        <v>400</v>
      </c>
      <c r="L623" s="8" t="n"/>
      <c r="M623" s="14">
        <f>IF($A623="","",$J623*$K623)</f>
        <v/>
      </c>
      <c r="N623" s="14">
        <f>IF($A623="","",$M623-$L623)</f>
        <v/>
      </c>
      <c r="O623" s="4" t="inlineStr">
        <is>
          <t>Insurance</t>
        </is>
      </c>
      <c r="P623" s="15">
        <f>IF($A623="","",DATE(YEAR($A623),MONTH($A623),1))</f>
        <v/>
      </c>
      <c r="Q623" s="16">
        <f>IF($H623="","",$J623*IFERROR(INDEX('Settings'!$L$10:$L$39,MATCH($H623,'Settings'!$I$10:$I$39,0)),0))</f>
        <v/>
      </c>
      <c r="R623" s="17">
        <f>IF($A623="","",$A623-WEEKDAY($A623,2)+1)</f>
        <v/>
      </c>
    </row>
    <row r="624">
      <c r="A624" s="5" t="n">
        <v>46256</v>
      </c>
      <c r="B624" s="4" t="inlineStr">
        <is>
          <t>Main branch</t>
        </is>
      </c>
      <c r="C624" s="4" t="inlineStr">
        <is>
          <t>Main 3</t>
        </is>
      </c>
      <c r="D624" s="4" t="inlineStr">
        <is>
          <t>Dr Ahmed Mansour</t>
        </is>
      </c>
      <c r="E624" s="4" t="inlineStr">
        <is>
          <t>P-2744</t>
        </is>
      </c>
      <c r="F624" s="4" t="inlineStr">
        <is>
          <t>Returning</t>
        </is>
      </c>
      <c r="G624" s="4" t="inlineStr">
        <is>
          <t>WhatsApp</t>
        </is>
      </c>
      <c r="H624" s="4" t="inlineStr">
        <is>
          <t>Chemical peel</t>
        </is>
      </c>
      <c r="I624" s="9">
        <f>IF($H624="","",IFERROR(INDEX('Settings'!$J$10:$J$39,MATCH($H624,'Settings'!$I$10:$I$39,0)),""))</f>
        <v/>
      </c>
      <c r="J624" s="6" t="n">
        <v>1</v>
      </c>
      <c r="K624" s="8" t="n">
        <v>800</v>
      </c>
      <c r="L624" s="8" t="n"/>
      <c r="M624" s="14">
        <f>IF($A624="","",$J624*$K624)</f>
        <v/>
      </c>
      <c r="N624" s="14">
        <f>IF($A624="","",$M624-$L624)</f>
        <v/>
      </c>
      <c r="O624" s="4" t="inlineStr">
        <is>
          <t>Card</t>
        </is>
      </c>
      <c r="P624" s="15">
        <f>IF($A624="","",DATE(YEAR($A624),MONTH($A624),1))</f>
        <v/>
      </c>
      <c r="Q624" s="16">
        <f>IF($H624="","",$J624*IFERROR(INDEX('Settings'!$L$10:$L$39,MATCH($H624,'Settings'!$I$10:$I$39,0)),0))</f>
        <v/>
      </c>
      <c r="R624" s="17">
        <f>IF($A624="","",$A624-WEEKDAY($A624,2)+1)</f>
        <v/>
      </c>
    </row>
    <row r="625">
      <c r="A625" s="5" t="n">
        <v>46256</v>
      </c>
      <c r="B625" s="4" t="inlineStr">
        <is>
          <t>North branch</t>
        </is>
      </c>
      <c r="C625" s="4" t="inlineStr">
        <is>
          <t>North 1</t>
        </is>
      </c>
      <c r="D625" s="4" t="inlineStr">
        <is>
          <t>Dr Khaled Youssef</t>
        </is>
      </c>
      <c r="E625" s="4" t="inlineStr">
        <is>
          <t>P-2477</t>
        </is>
      </c>
      <c r="F625" s="4" t="inlineStr">
        <is>
          <t>Returning</t>
        </is>
      </c>
      <c r="G625" s="4" t="inlineStr">
        <is>
          <t>Referral</t>
        </is>
      </c>
      <c r="H625" s="4" t="inlineStr">
        <is>
          <t>Chemical peel</t>
        </is>
      </c>
      <c r="I625" s="9">
        <f>IF($H625="","",IFERROR(INDEX('Settings'!$J$10:$J$39,MATCH($H625,'Settings'!$I$10:$I$39,0)),""))</f>
        <v/>
      </c>
      <c r="J625" s="6" t="n">
        <v>1</v>
      </c>
      <c r="K625" s="8" t="n">
        <v>800</v>
      </c>
      <c r="L625" s="8" t="n"/>
      <c r="M625" s="14">
        <f>IF($A625="","",$J625*$K625)</f>
        <v/>
      </c>
      <c r="N625" s="14">
        <f>IF($A625="","",$M625-$L625)</f>
        <v/>
      </c>
      <c r="O625" s="4" t="inlineStr">
        <is>
          <t>Insurance</t>
        </is>
      </c>
      <c r="P625" s="15">
        <f>IF($A625="","",DATE(YEAR($A625),MONTH($A625),1))</f>
        <v/>
      </c>
      <c r="Q625" s="16">
        <f>IF($H625="","",$J625*IFERROR(INDEX('Settings'!$L$10:$L$39,MATCH($H625,'Settings'!$I$10:$I$39,0)),0))</f>
        <v/>
      </c>
      <c r="R625" s="17">
        <f>IF($A625="","",$A625-WEEKDAY($A625,2)+1)</f>
        <v/>
      </c>
    </row>
    <row r="626">
      <c r="A626" s="5" t="n">
        <v>46256</v>
      </c>
      <c r="B626" s="4" t="inlineStr">
        <is>
          <t>North branch</t>
        </is>
      </c>
      <c r="C626" s="4" t="inlineStr">
        <is>
          <t>North 1</t>
        </is>
      </c>
      <c r="D626" s="4" t="inlineStr">
        <is>
          <t>Dr Layla Al Qahtani</t>
        </is>
      </c>
      <c r="E626" s="4" t="inlineStr">
        <is>
          <t>P-2964</t>
        </is>
      </c>
      <c r="F626" s="4" t="inlineStr">
        <is>
          <t>Returning</t>
        </is>
      </c>
      <c r="G626" s="4" t="inlineStr">
        <is>
          <t>WhatsApp</t>
        </is>
      </c>
      <c r="H626" s="4" t="inlineStr">
        <is>
          <t>Sunscreen cream</t>
        </is>
      </c>
      <c r="I626" s="9">
        <f>IF($H626="","",IFERROR(INDEX('Settings'!$J$10:$J$39,MATCH($H626,'Settings'!$I$10:$I$39,0)),""))</f>
        <v/>
      </c>
      <c r="J626" s="6" t="n">
        <v>1</v>
      </c>
      <c r="K626" s="8" t="n">
        <v>120</v>
      </c>
      <c r="L626" s="8" t="n"/>
      <c r="M626" s="14">
        <f>IF($A626="","",$J626*$K626)</f>
        <v/>
      </c>
      <c r="N626" s="14">
        <f>IF($A626="","",$M626-$L626)</f>
        <v/>
      </c>
      <c r="O626" s="4" t="inlineStr">
        <is>
          <t>Insurance</t>
        </is>
      </c>
      <c r="P626" s="15">
        <f>IF($A626="","",DATE(YEAR($A626),MONTH($A626),1))</f>
        <v/>
      </c>
      <c r="Q626" s="16">
        <f>IF($H626="","",$J626*IFERROR(INDEX('Settings'!$L$10:$L$39,MATCH($H626,'Settings'!$I$10:$I$39,0)),0))</f>
        <v/>
      </c>
      <c r="R626" s="17">
        <f>IF($A626="","",$A626-WEEKDAY($A626,2)+1)</f>
        <v/>
      </c>
    </row>
    <row r="627">
      <c r="A627" s="5" t="n">
        <v>46256</v>
      </c>
      <c r="B627" s="4" t="inlineStr">
        <is>
          <t>North branch</t>
        </is>
      </c>
      <c r="C627" s="4" t="inlineStr">
        <is>
          <t>North 1</t>
        </is>
      </c>
      <c r="D627" s="4" t="inlineStr">
        <is>
          <t>Dr Khaled Youssef</t>
        </is>
      </c>
      <c r="E627" s="4" t="inlineStr">
        <is>
          <t>P-2379</t>
        </is>
      </c>
      <c r="F627" s="4" t="inlineStr">
        <is>
          <t>Returning</t>
        </is>
      </c>
      <c r="G627" s="4" t="inlineStr">
        <is>
          <t>Walk-in</t>
        </is>
      </c>
      <c r="H627" s="4" t="inlineStr">
        <is>
          <t>Physiotherapy session</t>
        </is>
      </c>
      <c r="I627" s="9">
        <f>IF($H627="","",IFERROR(INDEX('Settings'!$J$10:$J$39,MATCH($H627,'Settings'!$I$10:$I$39,0)),""))</f>
        <v/>
      </c>
      <c r="J627" s="6" t="n">
        <v>1</v>
      </c>
      <c r="K627" s="8" t="n">
        <v>300</v>
      </c>
      <c r="L627" s="8" t="n"/>
      <c r="M627" s="14">
        <f>IF($A627="","",$J627*$K627)</f>
        <v/>
      </c>
      <c r="N627" s="14">
        <f>IF($A627="","",$M627-$L627)</f>
        <v/>
      </c>
      <c r="O627" s="4" t="inlineStr">
        <is>
          <t>Payment link</t>
        </is>
      </c>
      <c r="P627" s="15">
        <f>IF($A627="","",DATE(YEAR($A627),MONTH($A627),1))</f>
        <v/>
      </c>
      <c r="Q627" s="16">
        <f>IF($H627="","",$J627*IFERROR(INDEX('Settings'!$L$10:$L$39,MATCH($H627,'Settings'!$I$10:$I$39,0)),0))</f>
        <v/>
      </c>
      <c r="R627" s="17">
        <f>IF($A627="","",$A627-WEEKDAY($A627,2)+1)</f>
        <v/>
      </c>
    </row>
    <row r="628">
      <c r="A628" s="5" t="n">
        <v>46256</v>
      </c>
      <c r="B628" s="4" t="inlineStr">
        <is>
          <t>North branch</t>
        </is>
      </c>
      <c r="C628" s="4" t="inlineStr">
        <is>
          <t>North 2</t>
        </is>
      </c>
      <c r="D628" s="4" t="inlineStr">
        <is>
          <t>Dr Layla Al Qahtani</t>
        </is>
      </c>
      <c r="E628" s="4" t="inlineStr">
        <is>
          <t>P-2923</t>
        </is>
      </c>
      <c r="F628" s="4" t="inlineStr">
        <is>
          <t>Returning</t>
        </is>
      </c>
      <c r="G628" s="4" t="inlineStr">
        <is>
          <t>WhatsApp</t>
        </is>
      </c>
      <c r="H628" s="4" t="inlineStr">
        <is>
          <t>Specialist consultation</t>
        </is>
      </c>
      <c r="I628" s="9">
        <f>IF($H628="","",IFERROR(INDEX('Settings'!$J$10:$J$39,MATCH($H628,'Settings'!$I$10:$I$39,0)),""))</f>
        <v/>
      </c>
      <c r="J628" s="6" t="n">
        <v>1</v>
      </c>
      <c r="K628" s="8" t="n">
        <v>350</v>
      </c>
      <c r="L628" s="8" t="n"/>
      <c r="M628" s="14">
        <f>IF($A628="","",$J628*$K628)</f>
        <v/>
      </c>
      <c r="N628" s="14">
        <f>IF($A628="","",$M628-$L628)</f>
        <v/>
      </c>
      <c r="O628" s="4" t="inlineStr">
        <is>
          <t>Cash</t>
        </is>
      </c>
      <c r="P628" s="15">
        <f>IF($A628="","",DATE(YEAR($A628),MONTH($A628),1))</f>
        <v/>
      </c>
      <c r="Q628" s="16">
        <f>IF($H628="","",$J628*IFERROR(INDEX('Settings'!$L$10:$L$39,MATCH($H628,'Settings'!$I$10:$I$39,0)),0))</f>
        <v/>
      </c>
      <c r="R628" s="17">
        <f>IF($A628="","",$A628-WEEKDAY($A628,2)+1)</f>
        <v/>
      </c>
    </row>
    <row r="629">
      <c r="A629" s="5" t="n">
        <v>46256</v>
      </c>
      <c r="B629" s="4" t="inlineStr">
        <is>
          <t>North branch</t>
        </is>
      </c>
      <c r="C629" s="4" t="inlineStr">
        <is>
          <t>North 2</t>
        </is>
      </c>
      <c r="D629" s="4" t="inlineStr">
        <is>
          <t>Dr Mohamed Adel</t>
        </is>
      </c>
      <c r="E629" s="4" t="inlineStr">
        <is>
          <t>P-2939</t>
        </is>
      </c>
      <c r="F629" s="4" t="inlineStr">
        <is>
          <t>New</t>
        </is>
      </c>
      <c r="G629" s="4" t="inlineStr">
        <is>
          <t>Instagram</t>
        </is>
      </c>
      <c r="H629" s="4" t="inlineStr">
        <is>
          <t>Botulinum toxin</t>
        </is>
      </c>
      <c r="I629" s="9">
        <f>IF($H629="","",IFERROR(INDEX('Settings'!$J$10:$J$39,MATCH($H629,'Settings'!$I$10:$I$39,0)),""))</f>
        <v/>
      </c>
      <c r="J629" s="6" t="n">
        <v>1</v>
      </c>
      <c r="K629" s="8" t="n">
        <v>1500</v>
      </c>
      <c r="L629" s="8" t="n">
        <v>150</v>
      </c>
      <c r="M629" s="14">
        <f>IF($A629="","",$J629*$K629)</f>
        <v/>
      </c>
      <c r="N629" s="14">
        <f>IF($A629="","",$M629-$L629)</f>
        <v/>
      </c>
      <c r="O629" s="4" t="inlineStr">
        <is>
          <t>Card</t>
        </is>
      </c>
      <c r="P629" s="15">
        <f>IF($A629="","",DATE(YEAR($A629),MONTH($A629),1))</f>
        <v/>
      </c>
      <c r="Q629" s="16">
        <f>IF($H629="","",$J629*IFERROR(INDEX('Settings'!$L$10:$L$39,MATCH($H629,'Settings'!$I$10:$I$39,0)),0))</f>
        <v/>
      </c>
      <c r="R629" s="17">
        <f>IF($A629="","",$A629-WEEKDAY($A629,2)+1)</f>
        <v/>
      </c>
    </row>
    <row r="630">
      <c r="A630" s="5" t="n">
        <v>46256</v>
      </c>
      <c r="B630" s="4" t="inlineStr">
        <is>
          <t>North branch</t>
        </is>
      </c>
      <c r="C630" s="4" t="inlineStr">
        <is>
          <t>North 2</t>
        </is>
      </c>
      <c r="D630" s="4" t="inlineStr">
        <is>
          <t>Dr Layla Al Qahtani</t>
        </is>
      </c>
      <c r="E630" s="4" t="inlineStr">
        <is>
          <t>P-2831</t>
        </is>
      </c>
      <c r="F630" s="4" t="inlineStr">
        <is>
          <t>New</t>
        </is>
      </c>
      <c r="G630" s="4" t="inlineStr">
        <is>
          <t>Referral</t>
        </is>
      </c>
      <c r="H630" s="4" t="inlineStr">
        <is>
          <t>Specialist consultation</t>
        </is>
      </c>
      <c r="I630" s="9">
        <f>IF($H630="","",IFERROR(INDEX('Settings'!$J$10:$J$39,MATCH($H630,'Settings'!$I$10:$I$39,0)),""))</f>
        <v/>
      </c>
      <c r="J630" s="6" t="n">
        <v>1</v>
      </c>
      <c r="K630" s="8" t="n">
        <v>350</v>
      </c>
      <c r="L630" s="8" t="n"/>
      <c r="M630" s="14">
        <f>IF($A630="","",$J630*$K630)</f>
        <v/>
      </c>
      <c r="N630" s="14">
        <f>IF($A630="","",$M630-$L630)</f>
        <v/>
      </c>
      <c r="O630" s="4" t="inlineStr">
        <is>
          <t>Cash</t>
        </is>
      </c>
      <c r="P630" s="15">
        <f>IF($A630="","",DATE(YEAR($A630),MONTH($A630),1))</f>
        <v/>
      </c>
      <c r="Q630" s="16">
        <f>IF($H630="","",$J630*IFERROR(INDEX('Settings'!$L$10:$L$39,MATCH($H630,'Settings'!$I$10:$I$39,0)),0))</f>
        <v/>
      </c>
      <c r="R630" s="17">
        <f>IF($A630="","",$A630-WEEKDAY($A630,2)+1)</f>
        <v/>
      </c>
    </row>
    <row r="631">
      <c r="A631" s="5" t="n">
        <v>46256</v>
      </c>
      <c r="B631" s="4" t="inlineStr">
        <is>
          <t>North branch</t>
        </is>
      </c>
      <c r="C631" s="4" t="inlineStr">
        <is>
          <t>North 2</t>
        </is>
      </c>
      <c r="D631" s="4" t="inlineStr">
        <is>
          <t>Dr Khaled Youssef</t>
        </is>
      </c>
      <c r="E631" s="4" t="inlineStr">
        <is>
          <t>P-2958</t>
        </is>
      </c>
      <c r="F631" s="4" t="inlineStr">
        <is>
          <t>New</t>
        </is>
      </c>
      <c r="G631" s="4" t="inlineStr">
        <is>
          <t>Walk-in</t>
        </is>
      </c>
      <c r="H631" s="4" t="inlineStr">
        <is>
          <t>Laser session, face</t>
        </is>
      </c>
      <c r="I631" s="9">
        <f>IF($H631="","",IFERROR(INDEX('Settings'!$J$10:$J$39,MATCH($H631,'Settings'!$I$10:$I$39,0)),""))</f>
        <v/>
      </c>
      <c r="J631" s="6" t="n">
        <v>1</v>
      </c>
      <c r="K631" s="8" t="n">
        <v>600</v>
      </c>
      <c r="L631" s="8" t="n"/>
      <c r="M631" s="14">
        <f>IF($A631="","",$J631*$K631)</f>
        <v/>
      </c>
      <c r="N631" s="14">
        <f>IF($A631="","",$M631-$L631)</f>
        <v/>
      </c>
      <c r="O631" s="4" t="inlineStr">
        <is>
          <t>Cash</t>
        </is>
      </c>
      <c r="P631" s="15">
        <f>IF($A631="","",DATE(YEAR($A631),MONTH($A631),1))</f>
        <v/>
      </c>
      <c r="Q631" s="16">
        <f>IF($H631="","",$J631*IFERROR(INDEX('Settings'!$L$10:$L$39,MATCH($H631,'Settings'!$I$10:$I$39,0)),0))</f>
        <v/>
      </c>
      <c r="R631" s="17">
        <f>IF($A631="","",$A631-WEEKDAY($A631,2)+1)</f>
        <v/>
      </c>
    </row>
    <row r="632">
      <c r="A632" s="5" t="n">
        <v>46256</v>
      </c>
      <c r="B632" s="4" t="inlineStr">
        <is>
          <t>North branch</t>
        </is>
      </c>
      <c r="C632" s="4" t="inlineStr">
        <is>
          <t>North 2</t>
        </is>
      </c>
      <c r="D632" s="4" t="inlineStr">
        <is>
          <t>Dr Layla Al Qahtani</t>
        </is>
      </c>
      <c r="E632" s="4" t="inlineStr">
        <is>
          <t>P-3492</t>
        </is>
      </c>
      <c r="F632" s="4" t="inlineStr">
        <is>
          <t>Returning</t>
        </is>
      </c>
      <c r="G632" s="4" t="inlineStr">
        <is>
          <t>Instagram</t>
        </is>
      </c>
      <c r="H632" s="4" t="inlineStr">
        <is>
          <t>Follow-up visit</t>
        </is>
      </c>
      <c r="I632" s="9">
        <f>IF($H632="","",IFERROR(INDEX('Settings'!$J$10:$J$39,MATCH($H632,'Settings'!$I$10:$I$39,0)),""))</f>
        <v/>
      </c>
      <c r="J632" s="6" t="n">
        <v>1</v>
      </c>
      <c r="K632" s="8" t="n">
        <v>150</v>
      </c>
      <c r="L632" s="8" t="n"/>
      <c r="M632" s="14">
        <f>IF($A632="","",$J632*$K632)</f>
        <v/>
      </c>
      <c r="N632" s="14">
        <f>IF($A632="","",$M632-$L632)</f>
        <v/>
      </c>
      <c r="O632" s="4" t="inlineStr">
        <is>
          <t>Card</t>
        </is>
      </c>
      <c r="P632" s="15">
        <f>IF($A632="","",DATE(YEAR($A632),MONTH($A632),1))</f>
        <v/>
      </c>
      <c r="Q632" s="16">
        <f>IF($H632="","",$J632*IFERROR(INDEX('Settings'!$L$10:$L$39,MATCH($H632,'Settings'!$I$10:$I$39,0)),0))</f>
        <v/>
      </c>
      <c r="R632" s="17">
        <f>IF($A632="","",$A632-WEEKDAY($A632,2)+1)</f>
        <v/>
      </c>
    </row>
    <row r="633">
      <c r="A633" s="5" t="n">
        <v>46257</v>
      </c>
      <c r="B633" s="4" t="inlineStr">
        <is>
          <t>Main branch</t>
        </is>
      </c>
      <c r="C633" s="4" t="inlineStr">
        <is>
          <t>Main 1</t>
        </is>
      </c>
      <c r="D633" s="4" t="inlineStr">
        <is>
          <t>Dr Sara Al Harbi</t>
        </is>
      </c>
      <c r="E633" s="4" t="inlineStr">
        <is>
          <t>P-3167</t>
        </is>
      </c>
      <c r="F633" s="4" t="inlineStr">
        <is>
          <t>New</t>
        </is>
      </c>
      <c r="G633" s="4" t="inlineStr">
        <is>
          <t>Referral</t>
        </is>
      </c>
      <c r="H633" s="4" t="inlineStr">
        <is>
          <t>Chemical peel</t>
        </is>
      </c>
      <c r="I633" s="9">
        <f>IF($H633="","",IFERROR(INDEX('Settings'!$J$10:$J$39,MATCH($H633,'Settings'!$I$10:$I$39,0)),""))</f>
        <v/>
      </c>
      <c r="J633" s="6" t="n">
        <v>1</v>
      </c>
      <c r="K633" s="8" t="n">
        <v>800</v>
      </c>
      <c r="L633" s="8" t="n">
        <v>40</v>
      </c>
      <c r="M633" s="14">
        <f>IF($A633="","",$J633*$K633)</f>
        <v/>
      </c>
      <c r="N633" s="14">
        <f>IF($A633="","",$M633-$L633)</f>
        <v/>
      </c>
      <c r="O633" s="4" t="inlineStr">
        <is>
          <t>Card</t>
        </is>
      </c>
      <c r="P633" s="15">
        <f>IF($A633="","",DATE(YEAR($A633),MONTH($A633),1))</f>
        <v/>
      </c>
      <c r="Q633" s="16">
        <f>IF($H633="","",$J633*IFERROR(INDEX('Settings'!$L$10:$L$39,MATCH($H633,'Settings'!$I$10:$I$39,0)),0))</f>
        <v/>
      </c>
      <c r="R633" s="17">
        <f>IF($A633="","",$A633-WEEKDAY($A633,2)+1)</f>
        <v/>
      </c>
    </row>
    <row r="634">
      <c r="A634" s="5" t="n">
        <v>46257</v>
      </c>
      <c r="B634" s="4" t="inlineStr">
        <is>
          <t>Main branch</t>
        </is>
      </c>
      <c r="C634" s="4" t="inlineStr">
        <is>
          <t>Main 2</t>
        </is>
      </c>
      <c r="D634" s="4" t="inlineStr">
        <is>
          <t>Dr Noura Al Subaie</t>
        </is>
      </c>
      <c r="E634" s="4" t="inlineStr">
        <is>
          <t>P-3051</t>
        </is>
      </c>
      <c r="F634" s="4" t="inlineStr">
        <is>
          <t>Returning</t>
        </is>
      </c>
      <c r="G634" s="4" t="inlineStr">
        <is>
          <t>Referral</t>
        </is>
      </c>
      <c r="H634" s="4" t="inlineStr">
        <is>
          <t>Specialist consultation</t>
        </is>
      </c>
      <c r="I634" s="9">
        <f>IF($H634="","",IFERROR(INDEX('Settings'!$J$10:$J$39,MATCH($H634,'Settings'!$I$10:$I$39,0)),""))</f>
        <v/>
      </c>
      <c r="J634" s="6" t="n">
        <v>1</v>
      </c>
      <c r="K634" s="8" t="n">
        <v>350</v>
      </c>
      <c r="L634" s="8" t="n"/>
      <c r="M634" s="14">
        <f>IF($A634="","",$J634*$K634)</f>
        <v/>
      </c>
      <c r="N634" s="14">
        <f>IF($A634="","",$M634-$L634)</f>
        <v/>
      </c>
      <c r="O634" s="4" t="inlineStr">
        <is>
          <t>Payment link</t>
        </is>
      </c>
      <c r="P634" s="15">
        <f>IF($A634="","",DATE(YEAR($A634),MONTH($A634),1))</f>
        <v/>
      </c>
      <c r="Q634" s="16">
        <f>IF($H634="","",$J634*IFERROR(INDEX('Settings'!$L$10:$L$39,MATCH($H634,'Settings'!$I$10:$I$39,0)),0))</f>
        <v/>
      </c>
      <c r="R634" s="17">
        <f>IF($A634="","",$A634-WEEKDAY($A634,2)+1)</f>
        <v/>
      </c>
    </row>
    <row r="635">
      <c r="A635" s="5" t="n">
        <v>46257</v>
      </c>
      <c r="B635" s="4" t="inlineStr">
        <is>
          <t>Main branch</t>
        </is>
      </c>
      <c r="C635" s="4" t="inlineStr">
        <is>
          <t>Main 3</t>
        </is>
      </c>
      <c r="D635" s="4" t="inlineStr">
        <is>
          <t>Dr Sara Al Harbi</t>
        </is>
      </c>
      <c r="E635" s="4" t="inlineStr">
        <is>
          <t>P-3392</t>
        </is>
      </c>
      <c r="F635" s="4" t="inlineStr">
        <is>
          <t>Returning</t>
        </is>
      </c>
      <c r="G635" s="4" t="inlineStr">
        <is>
          <t>Google</t>
        </is>
      </c>
      <c r="H635" s="4" t="inlineStr">
        <is>
          <t>Follow-up visit</t>
        </is>
      </c>
      <c r="I635" s="9">
        <f>IF($H635="","",IFERROR(INDEX('Settings'!$J$10:$J$39,MATCH($H635,'Settings'!$I$10:$I$39,0)),""))</f>
        <v/>
      </c>
      <c r="J635" s="6" t="n">
        <v>1</v>
      </c>
      <c r="K635" s="8" t="n">
        <v>150</v>
      </c>
      <c r="L635" s="8" t="n"/>
      <c r="M635" s="14">
        <f>IF($A635="","",$J635*$K635)</f>
        <v/>
      </c>
      <c r="N635" s="14">
        <f>IF($A635="","",$M635-$L635)</f>
        <v/>
      </c>
      <c r="O635" s="4" t="inlineStr">
        <is>
          <t>Card</t>
        </is>
      </c>
      <c r="P635" s="15">
        <f>IF($A635="","",DATE(YEAR($A635),MONTH($A635),1))</f>
        <v/>
      </c>
      <c r="Q635" s="16">
        <f>IF($H635="","",$J635*IFERROR(INDEX('Settings'!$L$10:$L$39,MATCH($H635,'Settings'!$I$10:$I$39,0)),0))</f>
        <v/>
      </c>
      <c r="R635" s="17">
        <f>IF($A635="","",$A635-WEEKDAY($A635,2)+1)</f>
        <v/>
      </c>
    </row>
    <row r="636">
      <c r="A636" s="5" t="n">
        <v>46257</v>
      </c>
      <c r="B636" s="4" t="inlineStr">
        <is>
          <t>Main branch</t>
        </is>
      </c>
      <c r="C636" s="4" t="inlineStr">
        <is>
          <t>Main 3</t>
        </is>
      </c>
      <c r="D636" s="4" t="inlineStr">
        <is>
          <t>Dr Sara Al Harbi</t>
        </is>
      </c>
      <c r="E636" s="4" t="inlineStr">
        <is>
          <t>P-2219</t>
        </is>
      </c>
      <c r="F636" s="4" t="inlineStr">
        <is>
          <t>Returning</t>
        </is>
      </c>
      <c r="G636" s="4" t="inlineStr">
        <is>
          <t>WhatsApp</t>
        </is>
      </c>
      <c r="H636" s="4" t="inlineStr">
        <is>
          <t>Laser session, body</t>
        </is>
      </c>
      <c r="I636" s="9">
        <f>IF($H636="","",IFERROR(INDEX('Settings'!$J$10:$J$39,MATCH($H636,'Settings'!$I$10:$I$39,0)),""))</f>
        <v/>
      </c>
      <c r="J636" s="6" t="n">
        <v>1</v>
      </c>
      <c r="K636" s="8" t="n">
        <v>1200</v>
      </c>
      <c r="L636" s="8" t="n"/>
      <c r="M636" s="14">
        <f>IF($A636="","",$J636*$K636)</f>
        <v/>
      </c>
      <c r="N636" s="14">
        <f>IF($A636="","",$M636-$L636)</f>
        <v/>
      </c>
      <c r="O636" s="4" t="inlineStr">
        <is>
          <t>Card</t>
        </is>
      </c>
      <c r="P636" s="15">
        <f>IF($A636="","",DATE(YEAR($A636),MONTH($A636),1))</f>
        <v/>
      </c>
      <c r="Q636" s="16">
        <f>IF($H636="","",$J636*IFERROR(INDEX('Settings'!$L$10:$L$39,MATCH($H636,'Settings'!$I$10:$I$39,0)),0))</f>
        <v/>
      </c>
      <c r="R636" s="17">
        <f>IF($A636="","",$A636-WEEKDAY($A636,2)+1)</f>
        <v/>
      </c>
    </row>
    <row r="637">
      <c r="A637" s="5" t="n">
        <v>46257</v>
      </c>
      <c r="B637" s="4" t="inlineStr">
        <is>
          <t>Main branch</t>
        </is>
      </c>
      <c r="C637" s="4" t="inlineStr">
        <is>
          <t>Main 3</t>
        </is>
      </c>
      <c r="D637" s="4" t="inlineStr">
        <is>
          <t>Dr Sara Al Harbi</t>
        </is>
      </c>
      <c r="E637" s="4" t="inlineStr">
        <is>
          <t>P-3001</t>
        </is>
      </c>
      <c r="F637" s="4" t="inlineStr">
        <is>
          <t>New</t>
        </is>
      </c>
      <c r="G637" s="4" t="inlineStr">
        <is>
          <t>Instagram</t>
        </is>
      </c>
      <c r="H637" s="4" t="inlineStr">
        <is>
          <t>Laser session, face</t>
        </is>
      </c>
      <c r="I637" s="9">
        <f>IF($H637="","",IFERROR(INDEX('Settings'!$J$10:$J$39,MATCH($H637,'Settings'!$I$10:$I$39,0)),""))</f>
        <v/>
      </c>
      <c r="J637" s="6" t="n">
        <v>1</v>
      </c>
      <c r="K637" s="8" t="n">
        <v>600</v>
      </c>
      <c r="L637" s="8" t="n"/>
      <c r="M637" s="14">
        <f>IF($A637="","",$J637*$K637)</f>
        <v/>
      </c>
      <c r="N637" s="14">
        <f>IF($A637="","",$M637-$L637)</f>
        <v/>
      </c>
      <c r="O637" s="4" t="inlineStr">
        <is>
          <t>Card</t>
        </is>
      </c>
      <c r="P637" s="15">
        <f>IF($A637="","",DATE(YEAR($A637),MONTH($A637),1))</f>
        <v/>
      </c>
      <c r="Q637" s="16">
        <f>IF($H637="","",$J637*IFERROR(INDEX('Settings'!$L$10:$L$39,MATCH($H637,'Settings'!$I$10:$I$39,0)),0))</f>
        <v/>
      </c>
      <c r="R637" s="17">
        <f>IF($A637="","",$A637-WEEKDAY($A637,2)+1)</f>
        <v/>
      </c>
    </row>
    <row r="638">
      <c r="A638" s="5" t="n">
        <v>46257</v>
      </c>
      <c r="B638" s="4" t="inlineStr">
        <is>
          <t>Main branch</t>
        </is>
      </c>
      <c r="C638" s="4" t="inlineStr">
        <is>
          <t>Main 4</t>
        </is>
      </c>
      <c r="D638" s="4" t="inlineStr">
        <is>
          <t>Dr Ahmed Mansour</t>
        </is>
      </c>
      <c r="E638" s="4" t="inlineStr">
        <is>
          <t>P-3277</t>
        </is>
      </c>
      <c r="F638" s="4" t="inlineStr">
        <is>
          <t>Returning</t>
        </is>
      </c>
      <c r="G638" s="4" t="inlineStr">
        <is>
          <t>WhatsApp</t>
        </is>
      </c>
      <c r="H638" s="4" t="inlineStr">
        <is>
          <t>Botulinum toxin</t>
        </is>
      </c>
      <c r="I638" s="9">
        <f>IF($H638="","",IFERROR(INDEX('Settings'!$J$10:$J$39,MATCH($H638,'Settings'!$I$10:$I$39,0)),""))</f>
        <v/>
      </c>
      <c r="J638" s="6" t="n">
        <v>1</v>
      </c>
      <c r="K638" s="8" t="n">
        <v>1500</v>
      </c>
      <c r="L638" s="8" t="n"/>
      <c r="M638" s="14">
        <f>IF($A638="","",$J638*$K638)</f>
        <v/>
      </c>
      <c r="N638" s="14">
        <f>IF($A638="","",$M638-$L638)</f>
        <v/>
      </c>
      <c r="O638" s="4" t="inlineStr">
        <is>
          <t>Cash</t>
        </is>
      </c>
      <c r="P638" s="15">
        <f>IF($A638="","",DATE(YEAR($A638),MONTH($A638),1))</f>
        <v/>
      </c>
      <c r="Q638" s="16">
        <f>IF($H638="","",$J638*IFERROR(INDEX('Settings'!$L$10:$L$39,MATCH($H638,'Settings'!$I$10:$I$39,0)),0))</f>
        <v/>
      </c>
      <c r="R638" s="17">
        <f>IF($A638="","",$A638-WEEKDAY($A638,2)+1)</f>
        <v/>
      </c>
    </row>
    <row r="639">
      <c r="A639" s="5" t="n">
        <v>46257</v>
      </c>
      <c r="B639" s="4" t="inlineStr">
        <is>
          <t>Main branch</t>
        </is>
      </c>
      <c r="C639" s="4" t="inlineStr">
        <is>
          <t>Main 4</t>
        </is>
      </c>
      <c r="D639" s="4" t="inlineStr">
        <is>
          <t>Dr Ahmed Mansour</t>
        </is>
      </c>
      <c r="E639" s="4" t="inlineStr">
        <is>
          <t>P-2239</t>
        </is>
      </c>
      <c r="F639" s="4" t="inlineStr">
        <is>
          <t>Returning</t>
        </is>
      </c>
      <c r="G639" s="4" t="inlineStr">
        <is>
          <t>WhatsApp</t>
        </is>
      </c>
      <c r="H639" s="4" t="inlineStr">
        <is>
          <t>Follow-up visit</t>
        </is>
      </c>
      <c r="I639" s="9">
        <f>IF($H639="","",IFERROR(INDEX('Settings'!$J$10:$J$39,MATCH($H639,'Settings'!$I$10:$I$39,0)),""))</f>
        <v/>
      </c>
      <c r="J639" s="6" t="n">
        <v>1</v>
      </c>
      <c r="K639" s="8" t="n">
        <v>150</v>
      </c>
      <c r="L639" s="8" t="n"/>
      <c r="M639" s="14">
        <f>IF($A639="","",$J639*$K639)</f>
        <v/>
      </c>
      <c r="N639" s="14">
        <f>IF($A639="","",$M639-$L639)</f>
        <v/>
      </c>
      <c r="O639" s="4" t="inlineStr">
        <is>
          <t>Cash</t>
        </is>
      </c>
      <c r="P639" s="15">
        <f>IF($A639="","",DATE(YEAR($A639),MONTH($A639),1))</f>
        <v/>
      </c>
      <c r="Q639" s="16">
        <f>IF($H639="","",$J639*IFERROR(INDEX('Settings'!$L$10:$L$39,MATCH($H639,'Settings'!$I$10:$I$39,0)),0))</f>
        <v/>
      </c>
      <c r="R639" s="17">
        <f>IF($A639="","",$A639-WEEKDAY($A639,2)+1)</f>
        <v/>
      </c>
    </row>
    <row r="640">
      <c r="A640" s="5" t="n">
        <v>46257</v>
      </c>
      <c r="B640" s="4" t="inlineStr">
        <is>
          <t>Main branch</t>
        </is>
      </c>
      <c r="C640" s="4" t="inlineStr">
        <is>
          <t>Main 4</t>
        </is>
      </c>
      <c r="D640" s="4" t="inlineStr">
        <is>
          <t>Dr Noura Al Subaie</t>
        </is>
      </c>
      <c r="E640" s="4" t="inlineStr">
        <is>
          <t>P-3253</t>
        </is>
      </c>
      <c r="F640" s="4" t="inlineStr">
        <is>
          <t>Returning</t>
        </is>
      </c>
      <c r="G640" s="4" t="inlineStr">
        <is>
          <t>Referral</t>
        </is>
      </c>
      <c r="H640" s="4" t="inlineStr">
        <is>
          <t>Skin tag removal</t>
        </is>
      </c>
      <c r="I640" s="9">
        <f>IF($H640="","",IFERROR(INDEX('Settings'!$J$10:$J$39,MATCH($H640,'Settings'!$I$10:$I$39,0)),""))</f>
        <v/>
      </c>
      <c r="J640" s="6" t="n">
        <v>1</v>
      </c>
      <c r="K640" s="8" t="n">
        <v>500</v>
      </c>
      <c r="L640" s="8" t="n"/>
      <c r="M640" s="14">
        <f>IF($A640="","",$J640*$K640)</f>
        <v/>
      </c>
      <c r="N640" s="14">
        <f>IF($A640="","",$M640-$L640)</f>
        <v/>
      </c>
      <c r="O640" s="4" t="inlineStr">
        <is>
          <t>Cash</t>
        </is>
      </c>
      <c r="P640" s="15">
        <f>IF($A640="","",DATE(YEAR($A640),MONTH($A640),1))</f>
        <v/>
      </c>
      <c r="Q640" s="16">
        <f>IF($H640="","",$J640*IFERROR(INDEX('Settings'!$L$10:$L$39,MATCH($H640,'Settings'!$I$10:$I$39,0)),0))</f>
        <v/>
      </c>
      <c r="R640" s="17">
        <f>IF($A640="","",$A640-WEEKDAY($A640,2)+1)</f>
        <v/>
      </c>
    </row>
    <row r="641">
      <c r="A641" s="5" t="n">
        <v>46257</v>
      </c>
      <c r="B641" s="4" t="inlineStr">
        <is>
          <t>North branch</t>
        </is>
      </c>
      <c r="C641" s="4" t="inlineStr">
        <is>
          <t>North 1</t>
        </is>
      </c>
      <c r="D641" s="4" t="inlineStr">
        <is>
          <t>Dr Mohamed Adel</t>
        </is>
      </c>
      <c r="E641" s="4" t="inlineStr">
        <is>
          <t>P-2344</t>
        </is>
      </c>
      <c r="F641" s="4" t="inlineStr">
        <is>
          <t>New</t>
        </is>
      </c>
      <c r="G641" s="4" t="inlineStr">
        <is>
          <t>Instagram</t>
        </is>
      </c>
      <c r="H641" s="4" t="inlineStr">
        <is>
          <t>Specialist consultation</t>
        </is>
      </c>
      <c r="I641" s="9">
        <f>IF($H641="","",IFERROR(INDEX('Settings'!$J$10:$J$39,MATCH($H641,'Settings'!$I$10:$I$39,0)),""))</f>
        <v/>
      </c>
      <c r="J641" s="6" t="n">
        <v>1</v>
      </c>
      <c r="K641" s="8" t="n">
        <v>350</v>
      </c>
      <c r="L641" s="8" t="n"/>
      <c r="M641" s="14">
        <f>IF($A641="","",$J641*$K641)</f>
        <v/>
      </c>
      <c r="N641" s="14">
        <f>IF($A641="","",$M641-$L641)</f>
        <v/>
      </c>
      <c r="O641" s="4" t="inlineStr">
        <is>
          <t>Cash</t>
        </is>
      </c>
      <c r="P641" s="15">
        <f>IF($A641="","",DATE(YEAR($A641),MONTH($A641),1))</f>
        <v/>
      </c>
      <c r="Q641" s="16">
        <f>IF($H641="","",$J641*IFERROR(INDEX('Settings'!$L$10:$L$39,MATCH($H641,'Settings'!$I$10:$I$39,0)),0))</f>
        <v/>
      </c>
      <c r="R641" s="17">
        <f>IF($A641="","",$A641-WEEKDAY($A641,2)+1)</f>
        <v/>
      </c>
    </row>
    <row r="642">
      <c r="A642" s="5" t="n">
        <v>46257</v>
      </c>
      <c r="B642" s="4" t="inlineStr">
        <is>
          <t>North branch</t>
        </is>
      </c>
      <c r="C642" s="4" t="inlineStr">
        <is>
          <t>North 1</t>
        </is>
      </c>
      <c r="D642" s="4" t="inlineStr">
        <is>
          <t>Dr Mohamed Adel</t>
        </is>
      </c>
      <c r="E642" s="4" t="inlineStr">
        <is>
          <t>P-2719</t>
        </is>
      </c>
      <c r="F642" s="4" t="inlineStr">
        <is>
          <t>Returning</t>
        </is>
      </c>
      <c r="G642" s="4" t="inlineStr">
        <is>
          <t>Instagram</t>
        </is>
      </c>
      <c r="H642" s="4" t="inlineStr">
        <is>
          <t>Physiotherapy session</t>
        </is>
      </c>
      <c r="I642" s="9">
        <f>IF($H642="","",IFERROR(INDEX('Settings'!$J$10:$J$39,MATCH($H642,'Settings'!$I$10:$I$39,0)),""))</f>
        <v/>
      </c>
      <c r="J642" s="6" t="n">
        <v>1</v>
      </c>
      <c r="K642" s="8" t="n">
        <v>300</v>
      </c>
      <c r="L642" s="8" t="n"/>
      <c r="M642" s="14">
        <f>IF($A642="","",$J642*$K642)</f>
        <v/>
      </c>
      <c r="N642" s="14">
        <f>IF($A642="","",$M642-$L642)</f>
        <v/>
      </c>
      <c r="O642" s="4" t="inlineStr">
        <is>
          <t>Payment link</t>
        </is>
      </c>
      <c r="P642" s="15">
        <f>IF($A642="","",DATE(YEAR($A642),MONTH($A642),1))</f>
        <v/>
      </c>
      <c r="Q642" s="16">
        <f>IF($H642="","",$J642*IFERROR(INDEX('Settings'!$L$10:$L$39,MATCH($H642,'Settings'!$I$10:$I$39,0)),0))</f>
        <v/>
      </c>
      <c r="R642" s="17">
        <f>IF($A642="","",$A642-WEEKDAY($A642,2)+1)</f>
        <v/>
      </c>
    </row>
    <row r="643">
      <c r="A643" s="5" t="n">
        <v>46257</v>
      </c>
      <c r="B643" s="4" t="inlineStr">
        <is>
          <t>North branch</t>
        </is>
      </c>
      <c r="C643" s="4" t="inlineStr">
        <is>
          <t>North 1</t>
        </is>
      </c>
      <c r="D643" s="4" t="inlineStr">
        <is>
          <t>Dr Khaled Youssef</t>
        </is>
      </c>
      <c r="E643" s="4" t="inlineStr">
        <is>
          <t>P-2238</t>
        </is>
      </c>
      <c r="F643" s="4" t="inlineStr">
        <is>
          <t>Returning</t>
        </is>
      </c>
      <c r="G643" s="4" t="inlineStr">
        <is>
          <t>Instagram</t>
        </is>
      </c>
      <c r="H643" s="4" t="inlineStr">
        <is>
          <t>Vitamin C serum</t>
        </is>
      </c>
      <c r="I643" s="9">
        <f>IF($H643="","",IFERROR(INDEX('Settings'!$J$10:$J$39,MATCH($H643,'Settings'!$I$10:$I$39,0)),""))</f>
        <v/>
      </c>
      <c r="J643" s="6" t="n">
        <v>1</v>
      </c>
      <c r="K643" s="8" t="n">
        <v>220</v>
      </c>
      <c r="L643" s="8" t="n"/>
      <c r="M643" s="14">
        <f>IF($A643="","",$J643*$K643)</f>
        <v/>
      </c>
      <c r="N643" s="14">
        <f>IF($A643="","",$M643-$L643)</f>
        <v/>
      </c>
      <c r="O643" s="4" t="inlineStr">
        <is>
          <t>Cash</t>
        </is>
      </c>
      <c r="P643" s="15">
        <f>IF($A643="","",DATE(YEAR($A643),MONTH($A643),1))</f>
        <v/>
      </c>
      <c r="Q643" s="16">
        <f>IF($H643="","",$J643*IFERROR(INDEX('Settings'!$L$10:$L$39,MATCH($H643,'Settings'!$I$10:$I$39,0)),0))</f>
        <v/>
      </c>
      <c r="R643" s="17">
        <f>IF($A643="","",$A643-WEEKDAY($A643,2)+1)</f>
        <v/>
      </c>
    </row>
    <row r="644">
      <c r="A644" s="5" t="n">
        <v>46257</v>
      </c>
      <c r="B644" s="4" t="inlineStr">
        <is>
          <t>North branch</t>
        </is>
      </c>
      <c r="C644" s="4" t="inlineStr">
        <is>
          <t>North 1</t>
        </is>
      </c>
      <c r="D644" s="4" t="inlineStr">
        <is>
          <t>Dr Layla Al Qahtani</t>
        </is>
      </c>
      <c r="E644" s="4" t="inlineStr">
        <is>
          <t>P-2641</t>
        </is>
      </c>
      <c r="F644" s="4" t="inlineStr">
        <is>
          <t>Returning</t>
        </is>
      </c>
      <c r="G644" s="4" t="inlineStr">
        <is>
          <t>Instagram</t>
        </is>
      </c>
      <c r="H644" s="4" t="inlineStr">
        <is>
          <t>Specialist consultation</t>
        </is>
      </c>
      <c r="I644" s="9">
        <f>IF($H644="","",IFERROR(INDEX('Settings'!$J$10:$J$39,MATCH($H644,'Settings'!$I$10:$I$39,0)),""))</f>
        <v/>
      </c>
      <c r="J644" s="6" t="n">
        <v>1</v>
      </c>
      <c r="K644" s="8" t="n">
        <v>350</v>
      </c>
      <c r="L644" s="8" t="n"/>
      <c r="M644" s="14">
        <f>IF($A644="","",$J644*$K644)</f>
        <v/>
      </c>
      <c r="N644" s="14">
        <f>IF($A644="","",$M644-$L644)</f>
        <v/>
      </c>
      <c r="O644" s="4" t="inlineStr">
        <is>
          <t>Payment link</t>
        </is>
      </c>
      <c r="P644" s="15">
        <f>IF($A644="","",DATE(YEAR($A644),MONTH($A644),1))</f>
        <v/>
      </c>
      <c r="Q644" s="16">
        <f>IF($H644="","",$J644*IFERROR(INDEX('Settings'!$L$10:$L$39,MATCH($H644,'Settings'!$I$10:$I$39,0)),0))</f>
        <v/>
      </c>
      <c r="R644" s="17">
        <f>IF($A644="","",$A644-WEEKDAY($A644,2)+1)</f>
        <v/>
      </c>
    </row>
    <row r="645">
      <c r="A645" s="5" t="n">
        <v>46257</v>
      </c>
      <c r="B645" s="4" t="inlineStr">
        <is>
          <t>North branch</t>
        </is>
      </c>
      <c r="C645" s="4" t="inlineStr">
        <is>
          <t>North 2</t>
        </is>
      </c>
      <c r="D645" s="4" t="inlineStr">
        <is>
          <t>Dr Khaled Youssef</t>
        </is>
      </c>
      <c r="E645" s="4" t="inlineStr">
        <is>
          <t>P-2329</t>
        </is>
      </c>
      <c r="F645" s="4" t="inlineStr">
        <is>
          <t>Returning</t>
        </is>
      </c>
      <c r="G645" s="4" t="inlineStr">
        <is>
          <t>Referral</t>
        </is>
      </c>
      <c r="H645" s="4" t="inlineStr">
        <is>
          <t>Specialist consultation</t>
        </is>
      </c>
      <c r="I645" s="9">
        <f>IF($H645="","",IFERROR(INDEX('Settings'!$J$10:$J$39,MATCH($H645,'Settings'!$I$10:$I$39,0)),""))</f>
        <v/>
      </c>
      <c r="J645" s="6" t="n">
        <v>1</v>
      </c>
      <c r="K645" s="8" t="n">
        <v>350</v>
      </c>
      <c r="L645" s="8" t="n"/>
      <c r="M645" s="14">
        <f>IF($A645="","",$J645*$K645)</f>
        <v/>
      </c>
      <c r="N645" s="14">
        <f>IF($A645="","",$M645-$L645)</f>
        <v/>
      </c>
      <c r="O645" s="4" t="inlineStr">
        <is>
          <t>Card</t>
        </is>
      </c>
      <c r="P645" s="15">
        <f>IF($A645="","",DATE(YEAR($A645),MONTH($A645),1))</f>
        <v/>
      </c>
      <c r="Q645" s="16">
        <f>IF($H645="","",$J645*IFERROR(INDEX('Settings'!$L$10:$L$39,MATCH($H645,'Settings'!$I$10:$I$39,0)),0))</f>
        <v/>
      </c>
      <c r="R645" s="17">
        <f>IF($A645="","",$A645-WEEKDAY($A645,2)+1)</f>
        <v/>
      </c>
    </row>
    <row r="646">
      <c r="A646" s="5" t="n">
        <v>46257</v>
      </c>
      <c r="B646" s="4" t="inlineStr">
        <is>
          <t>North branch</t>
        </is>
      </c>
      <c r="C646" s="4" t="inlineStr">
        <is>
          <t>North 2</t>
        </is>
      </c>
      <c r="D646" s="4" t="inlineStr">
        <is>
          <t>Dr Khaled Youssef</t>
        </is>
      </c>
      <c r="E646" s="4" t="inlineStr">
        <is>
          <t>P-2985</t>
        </is>
      </c>
      <c r="F646" s="4" t="inlineStr">
        <is>
          <t>Returning</t>
        </is>
      </c>
      <c r="G646" s="4" t="inlineStr">
        <is>
          <t>Walk-in</t>
        </is>
      </c>
      <c r="H646" s="4" t="inlineStr">
        <is>
          <t>Follow-up visit</t>
        </is>
      </c>
      <c r="I646" s="9">
        <f>IF($H646="","",IFERROR(INDEX('Settings'!$J$10:$J$39,MATCH($H646,'Settings'!$I$10:$I$39,0)),""))</f>
        <v/>
      </c>
      <c r="J646" s="6" t="n">
        <v>1</v>
      </c>
      <c r="K646" s="8" t="n">
        <v>150</v>
      </c>
      <c r="L646" s="8" t="n"/>
      <c r="M646" s="14">
        <f>IF($A646="","",$J646*$K646)</f>
        <v/>
      </c>
      <c r="N646" s="14">
        <f>IF($A646="","",$M646-$L646)</f>
        <v/>
      </c>
      <c r="O646" s="4" t="inlineStr">
        <is>
          <t>Cash</t>
        </is>
      </c>
      <c r="P646" s="15">
        <f>IF($A646="","",DATE(YEAR($A646),MONTH($A646),1))</f>
        <v/>
      </c>
      <c r="Q646" s="16">
        <f>IF($H646="","",$J646*IFERROR(INDEX('Settings'!$L$10:$L$39,MATCH($H646,'Settings'!$I$10:$I$39,0)),0))</f>
        <v/>
      </c>
      <c r="R646" s="17">
        <f>IF($A646="","",$A646-WEEKDAY($A646,2)+1)</f>
        <v/>
      </c>
    </row>
    <row r="647">
      <c r="A647" s="5" t="n">
        <v>46257</v>
      </c>
      <c r="B647" s="4" t="inlineStr">
        <is>
          <t>North branch</t>
        </is>
      </c>
      <c r="C647" s="4" t="inlineStr">
        <is>
          <t>North 2</t>
        </is>
      </c>
      <c r="D647" s="4" t="inlineStr">
        <is>
          <t>Dr Mohamed Adel</t>
        </is>
      </c>
      <c r="E647" s="4" t="inlineStr">
        <is>
          <t>P-3006</t>
        </is>
      </c>
      <c r="F647" s="4" t="inlineStr">
        <is>
          <t>New</t>
        </is>
      </c>
      <c r="G647" s="4" t="inlineStr">
        <is>
          <t>Referral</t>
        </is>
      </c>
      <c r="H647" s="4" t="inlineStr">
        <is>
          <t>Laser session, body</t>
        </is>
      </c>
      <c r="I647" s="9">
        <f>IF($H647="","",IFERROR(INDEX('Settings'!$J$10:$J$39,MATCH($H647,'Settings'!$I$10:$I$39,0)),""))</f>
        <v/>
      </c>
      <c r="J647" s="6" t="n">
        <v>1</v>
      </c>
      <c r="K647" s="8" t="n">
        <v>1200</v>
      </c>
      <c r="L647" s="8" t="n"/>
      <c r="M647" s="14">
        <f>IF($A647="","",$J647*$K647)</f>
        <v/>
      </c>
      <c r="N647" s="14">
        <f>IF($A647="","",$M647-$L647)</f>
        <v/>
      </c>
      <c r="O647" s="4" t="inlineStr">
        <is>
          <t>Card</t>
        </is>
      </c>
      <c r="P647" s="15">
        <f>IF($A647="","",DATE(YEAR($A647),MONTH($A647),1))</f>
        <v/>
      </c>
      <c r="Q647" s="16">
        <f>IF($H647="","",$J647*IFERROR(INDEX('Settings'!$L$10:$L$39,MATCH($H647,'Settings'!$I$10:$I$39,0)),0))</f>
        <v/>
      </c>
      <c r="R647" s="17">
        <f>IF($A647="","",$A647-WEEKDAY($A647,2)+1)</f>
        <v/>
      </c>
    </row>
    <row r="648">
      <c r="A648" s="5" t="n">
        <v>46257</v>
      </c>
      <c r="B648" s="4" t="inlineStr">
        <is>
          <t>North branch</t>
        </is>
      </c>
      <c r="C648" s="4" t="inlineStr">
        <is>
          <t>North 2</t>
        </is>
      </c>
      <c r="D648" s="4" t="inlineStr">
        <is>
          <t>Dr Mohamed Adel</t>
        </is>
      </c>
      <c r="E648" s="4" t="inlineStr">
        <is>
          <t>P-2996</t>
        </is>
      </c>
      <c r="F648" s="4" t="inlineStr">
        <is>
          <t>Returning</t>
        </is>
      </c>
      <c r="G648" s="4" t="inlineStr">
        <is>
          <t>Google</t>
        </is>
      </c>
      <c r="H648" s="4" t="inlineStr">
        <is>
          <t>Follow-up visit</t>
        </is>
      </c>
      <c r="I648" s="9">
        <f>IF($H648="","",IFERROR(INDEX('Settings'!$J$10:$J$39,MATCH($H648,'Settings'!$I$10:$I$39,0)),""))</f>
        <v/>
      </c>
      <c r="J648" s="6" t="n">
        <v>1</v>
      </c>
      <c r="K648" s="8" t="n">
        <v>150</v>
      </c>
      <c r="L648" s="8" t="n"/>
      <c r="M648" s="14">
        <f>IF($A648="","",$J648*$K648)</f>
        <v/>
      </c>
      <c r="N648" s="14">
        <f>IF($A648="","",$M648-$L648)</f>
        <v/>
      </c>
      <c r="O648" s="4" t="inlineStr">
        <is>
          <t>Card</t>
        </is>
      </c>
      <c r="P648" s="15">
        <f>IF($A648="","",DATE(YEAR($A648),MONTH($A648),1))</f>
        <v/>
      </c>
      <c r="Q648" s="16">
        <f>IF($H648="","",$J648*IFERROR(INDEX('Settings'!$L$10:$L$39,MATCH($H648,'Settings'!$I$10:$I$39,0)),0))</f>
        <v/>
      </c>
      <c r="R648" s="17">
        <f>IF($A648="","",$A648-WEEKDAY($A648,2)+1)</f>
        <v/>
      </c>
    </row>
    <row r="649">
      <c r="A649" s="5" t="n">
        <v>46257</v>
      </c>
      <c r="B649" s="4" t="inlineStr">
        <is>
          <t>North branch</t>
        </is>
      </c>
      <c r="C649" s="4" t="inlineStr">
        <is>
          <t>North 2</t>
        </is>
      </c>
      <c r="D649" s="4" t="inlineStr">
        <is>
          <t>Dr Mohamed Adel</t>
        </is>
      </c>
      <c r="E649" s="4" t="inlineStr">
        <is>
          <t>P-2711</t>
        </is>
      </c>
      <c r="F649" s="4" t="inlineStr">
        <is>
          <t>Returning</t>
        </is>
      </c>
      <c r="G649" s="4" t="inlineStr">
        <is>
          <t>Referral</t>
        </is>
      </c>
      <c r="H649" s="4" t="inlineStr">
        <is>
          <t>Follow-up visit</t>
        </is>
      </c>
      <c r="I649" s="9">
        <f>IF($H649="","",IFERROR(INDEX('Settings'!$J$10:$J$39,MATCH($H649,'Settings'!$I$10:$I$39,0)),""))</f>
        <v/>
      </c>
      <c r="J649" s="6" t="n">
        <v>1</v>
      </c>
      <c r="K649" s="8" t="n">
        <v>150</v>
      </c>
      <c r="L649" s="8" t="n"/>
      <c r="M649" s="14">
        <f>IF($A649="","",$J649*$K649)</f>
        <v/>
      </c>
      <c r="N649" s="14">
        <f>IF($A649="","",$M649-$L649)</f>
        <v/>
      </c>
      <c r="O649" s="4" t="inlineStr">
        <is>
          <t>Card</t>
        </is>
      </c>
      <c r="P649" s="15">
        <f>IF($A649="","",DATE(YEAR($A649),MONTH($A649),1))</f>
        <v/>
      </c>
      <c r="Q649" s="16">
        <f>IF($H649="","",$J649*IFERROR(INDEX('Settings'!$L$10:$L$39,MATCH($H649,'Settings'!$I$10:$I$39,0)),0))</f>
        <v/>
      </c>
      <c r="R649" s="17">
        <f>IF($A649="","",$A649-WEEKDAY($A649,2)+1)</f>
        <v/>
      </c>
    </row>
    <row r="650">
      <c r="A650" s="5" t="n">
        <v>46257</v>
      </c>
      <c r="B650" s="4" t="inlineStr">
        <is>
          <t>North branch</t>
        </is>
      </c>
      <c r="C650" s="4" t="inlineStr">
        <is>
          <t>North 2</t>
        </is>
      </c>
      <c r="D650" s="4" t="inlineStr">
        <is>
          <t>Dr Layla Al Qahtani</t>
        </is>
      </c>
      <c r="E650" s="4" t="inlineStr">
        <is>
          <t>P-3222</t>
        </is>
      </c>
      <c r="F650" s="4" t="inlineStr">
        <is>
          <t>Returning</t>
        </is>
      </c>
      <c r="G650" s="4" t="inlineStr">
        <is>
          <t>Google</t>
        </is>
      </c>
      <c r="H650" s="4" t="inlineStr">
        <is>
          <t>Facial cleansing</t>
        </is>
      </c>
      <c r="I650" s="9">
        <f>IF($H650="","",IFERROR(INDEX('Settings'!$J$10:$J$39,MATCH($H650,'Settings'!$I$10:$I$39,0)),""))</f>
        <v/>
      </c>
      <c r="J650" s="6" t="n">
        <v>1</v>
      </c>
      <c r="K650" s="8" t="n">
        <v>400</v>
      </c>
      <c r="L650" s="8" t="n"/>
      <c r="M650" s="14">
        <f>IF($A650="","",$J650*$K650)</f>
        <v/>
      </c>
      <c r="N650" s="14">
        <f>IF($A650="","",$M650-$L650)</f>
        <v/>
      </c>
      <c r="O650" s="4" t="inlineStr">
        <is>
          <t>Card</t>
        </is>
      </c>
      <c r="P650" s="15">
        <f>IF($A650="","",DATE(YEAR($A650),MONTH($A650),1))</f>
        <v/>
      </c>
      <c r="Q650" s="16">
        <f>IF($H650="","",$J650*IFERROR(INDEX('Settings'!$L$10:$L$39,MATCH($H650,'Settings'!$I$10:$I$39,0)),0))</f>
        <v/>
      </c>
      <c r="R650" s="17">
        <f>IF($A650="","",$A650-WEEKDAY($A650,2)+1)</f>
        <v/>
      </c>
    </row>
    <row r="651">
      <c r="A651" s="5" t="n">
        <v>46257</v>
      </c>
      <c r="B651" s="4" t="inlineStr">
        <is>
          <t>North branch</t>
        </is>
      </c>
      <c r="C651" s="4" t="inlineStr">
        <is>
          <t>North 2</t>
        </is>
      </c>
      <c r="D651" s="4" t="inlineStr">
        <is>
          <t>Dr Layla Al Qahtani</t>
        </is>
      </c>
      <c r="E651" s="4" t="inlineStr">
        <is>
          <t>P-2479</t>
        </is>
      </c>
      <c r="F651" s="4" t="inlineStr">
        <is>
          <t>Returning</t>
        </is>
      </c>
      <c r="G651" s="4" t="inlineStr">
        <is>
          <t>Google</t>
        </is>
      </c>
      <c r="H651" s="4" t="inlineStr">
        <is>
          <t>Laser session, face</t>
        </is>
      </c>
      <c r="I651" s="9">
        <f>IF($H651="","",IFERROR(INDEX('Settings'!$J$10:$J$39,MATCH($H651,'Settings'!$I$10:$I$39,0)),""))</f>
        <v/>
      </c>
      <c r="J651" s="6" t="n">
        <v>1</v>
      </c>
      <c r="K651" s="8" t="n">
        <v>600</v>
      </c>
      <c r="L651" s="8" t="n"/>
      <c r="M651" s="14">
        <f>IF($A651="","",$J651*$K651)</f>
        <v/>
      </c>
      <c r="N651" s="14">
        <f>IF($A651="","",$M651-$L651)</f>
        <v/>
      </c>
      <c r="O651" s="4" t="inlineStr">
        <is>
          <t>Cash</t>
        </is>
      </c>
      <c r="P651" s="15">
        <f>IF($A651="","",DATE(YEAR($A651),MONTH($A651),1))</f>
        <v/>
      </c>
      <c r="Q651" s="16">
        <f>IF($H651="","",$J651*IFERROR(INDEX('Settings'!$L$10:$L$39,MATCH($H651,'Settings'!$I$10:$I$39,0)),0))</f>
        <v/>
      </c>
      <c r="R651" s="17">
        <f>IF($A651="","",$A651-WEEKDAY($A651,2)+1)</f>
        <v/>
      </c>
    </row>
    <row r="652">
      <c r="A652" s="5" t="n">
        <v>46257</v>
      </c>
      <c r="B652" s="4" t="inlineStr">
        <is>
          <t>North branch</t>
        </is>
      </c>
      <c r="C652" s="4" t="inlineStr">
        <is>
          <t>North 2</t>
        </is>
      </c>
      <c r="D652" s="4" t="inlineStr">
        <is>
          <t>Dr Layla Al Qahtani</t>
        </is>
      </c>
      <c r="E652" s="4" t="inlineStr">
        <is>
          <t>P-2767</t>
        </is>
      </c>
      <c r="F652" s="4" t="inlineStr">
        <is>
          <t>Returning</t>
        </is>
      </c>
      <c r="G652" s="4" t="inlineStr">
        <is>
          <t>Walk-in</t>
        </is>
      </c>
      <c r="H652" s="4" t="inlineStr">
        <is>
          <t>Skin tag removal</t>
        </is>
      </c>
      <c r="I652" s="9">
        <f>IF($H652="","",IFERROR(INDEX('Settings'!$J$10:$J$39,MATCH($H652,'Settings'!$I$10:$I$39,0)),""))</f>
        <v/>
      </c>
      <c r="J652" s="6" t="n">
        <v>1</v>
      </c>
      <c r="K652" s="8" t="n">
        <v>500</v>
      </c>
      <c r="L652" s="8" t="n"/>
      <c r="M652" s="14">
        <f>IF($A652="","",$J652*$K652)</f>
        <v/>
      </c>
      <c r="N652" s="14">
        <f>IF($A652="","",$M652-$L652)</f>
        <v/>
      </c>
      <c r="O652" s="4" t="inlineStr">
        <is>
          <t>Card</t>
        </is>
      </c>
      <c r="P652" s="15">
        <f>IF($A652="","",DATE(YEAR($A652),MONTH($A652),1))</f>
        <v/>
      </c>
      <c r="Q652" s="16">
        <f>IF($H652="","",$J652*IFERROR(INDEX('Settings'!$L$10:$L$39,MATCH($H652,'Settings'!$I$10:$I$39,0)),0))</f>
        <v/>
      </c>
      <c r="R652" s="17">
        <f>IF($A652="","",$A652-WEEKDAY($A652,2)+1)</f>
        <v/>
      </c>
    </row>
    <row r="653">
      <c r="A653" s="5" t="n">
        <v>46257</v>
      </c>
      <c r="B653" s="4" t="inlineStr">
        <is>
          <t>North branch</t>
        </is>
      </c>
      <c r="C653" s="4" t="inlineStr">
        <is>
          <t>North 2</t>
        </is>
      </c>
      <c r="D653" s="4" t="inlineStr">
        <is>
          <t>Dr Khaled Youssef</t>
        </is>
      </c>
      <c r="E653" s="4" t="inlineStr">
        <is>
          <t>P-2962</t>
        </is>
      </c>
      <c r="F653" s="4" t="inlineStr">
        <is>
          <t>Returning</t>
        </is>
      </c>
      <c r="G653" s="4" t="inlineStr">
        <is>
          <t>Walk-in</t>
        </is>
      </c>
      <c r="H653" s="4" t="inlineStr">
        <is>
          <t>Follow-up visit</t>
        </is>
      </c>
      <c r="I653" s="9">
        <f>IF($H653="","",IFERROR(INDEX('Settings'!$J$10:$J$39,MATCH($H653,'Settings'!$I$10:$I$39,0)),""))</f>
        <v/>
      </c>
      <c r="J653" s="6" t="n">
        <v>1</v>
      </c>
      <c r="K653" s="8" t="n">
        <v>150</v>
      </c>
      <c r="L653" s="8" t="n"/>
      <c r="M653" s="14">
        <f>IF($A653="","",$J653*$K653)</f>
        <v/>
      </c>
      <c r="N653" s="14">
        <f>IF($A653="","",$M653-$L653)</f>
        <v/>
      </c>
      <c r="O653" s="4" t="inlineStr">
        <is>
          <t>Cash</t>
        </is>
      </c>
      <c r="P653" s="15">
        <f>IF($A653="","",DATE(YEAR($A653),MONTH($A653),1))</f>
        <v/>
      </c>
      <c r="Q653" s="16">
        <f>IF($H653="","",$J653*IFERROR(INDEX('Settings'!$L$10:$L$39,MATCH($H653,'Settings'!$I$10:$I$39,0)),0))</f>
        <v/>
      </c>
      <c r="R653" s="17">
        <f>IF($A653="","",$A653-WEEKDAY($A653,2)+1)</f>
        <v/>
      </c>
    </row>
    <row r="654">
      <c r="A654" s="5" t="n">
        <v>46257</v>
      </c>
      <c r="B654" s="4" t="inlineStr">
        <is>
          <t>North branch</t>
        </is>
      </c>
      <c r="C654" s="4" t="inlineStr">
        <is>
          <t>North 2</t>
        </is>
      </c>
      <c r="D654" s="4" t="inlineStr">
        <is>
          <t>Dr Layla Al Qahtani</t>
        </is>
      </c>
      <c r="E654" s="4" t="inlineStr">
        <is>
          <t>P-3050</t>
        </is>
      </c>
      <c r="F654" s="4" t="inlineStr">
        <is>
          <t>New</t>
        </is>
      </c>
      <c r="G654" s="4" t="inlineStr">
        <is>
          <t>Walk-in</t>
        </is>
      </c>
      <c r="H654" s="4" t="inlineStr">
        <is>
          <t>Physiotherapy session</t>
        </is>
      </c>
      <c r="I654" s="9">
        <f>IF($H654="","",IFERROR(INDEX('Settings'!$J$10:$J$39,MATCH($H654,'Settings'!$I$10:$I$39,0)),""))</f>
        <v/>
      </c>
      <c r="J654" s="6" t="n">
        <v>1</v>
      </c>
      <c r="K654" s="8" t="n">
        <v>300</v>
      </c>
      <c r="L654" s="8" t="n">
        <v>30</v>
      </c>
      <c r="M654" s="14">
        <f>IF($A654="","",$J654*$K654)</f>
        <v/>
      </c>
      <c r="N654" s="14">
        <f>IF($A654="","",$M654-$L654)</f>
        <v/>
      </c>
      <c r="O654" s="4" t="inlineStr">
        <is>
          <t>Cash</t>
        </is>
      </c>
      <c r="P654" s="15">
        <f>IF($A654="","",DATE(YEAR($A654),MONTH($A654),1))</f>
        <v/>
      </c>
      <c r="Q654" s="16">
        <f>IF($H654="","",$J654*IFERROR(INDEX('Settings'!$L$10:$L$39,MATCH($H654,'Settings'!$I$10:$I$39,0)),0))</f>
        <v/>
      </c>
      <c r="R654" s="17">
        <f>IF($A654="","",$A654-WEEKDAY($A654,2)+1)</f>
        <v/>
      </c>
    </row>
    <row r="655">
      <c r="A655" s="5" t="n">
        <v>46258</v>
      </c>
      <c r="B655" s="4" t="inlineStr">
        <is>
          <t>Main branch</t>
        </is>
      </c>
      <c r="C655" s="4" t="inlineStr">
        <is>
          <t>Main 3</t>
        </is>
      </c>
      <c r="D655" s="4" t="inlineStr">
        <is>
          <t>Dr Sara Al Harbi</t>
        </is>
      </c>
      <c r="E655" s="4" t="inlineStr">
        <is>
          <t>P-2369</t>
        </is>
      </c>
      <c r="F655" s="4" t="inlineStr">
        <is>
          <t>Returning</t>
        </is>
      </c>
      <c r="G655" s="4" t="inlineStr">
        <is>
          <t>Instagram</t>
        </is>
      </c>
      <c r="H655" s="4" t="inlineStr">
        <is>
          <t>Sunscreen cream</t>
        </is>
      </c>
      <c r="I655" s="9">
        <f>IF($H655="","",IFERROR(INDEX('Settings'!$J$10:$J$39,MATCH($H655,'Settings'!$I$10:$I$39,0)),""))</f>
        <v/>
      </c>
      <c r="J655" s="6" t="n">
        <v>2</v>
      </c>
      <c r="K655" s="8" t="n">
        <v>120</v>
      </c>
      <c r="L655" s="8" t="n"/>
      <c r="M655" s="14">
        <f>IF($A655="","",$J655*$K655)</f>
        <v/>
      </c>
      <c r="N655" s="14">
        <f>IF($A655="","",$M655-$L655)</f>
        <v/>
      </c>
      <c r="O655" s="4" t="inlineStr">
        <is>
          <t>Insurance</t>
        </is>
      </c>
      <c r="P655" s="15">
        <f>IF($A655="","",DATE(YEAR($A655),MONTH($A655),1))</f>
        <v/>
      </c>
      <c r="Q655" s="16">
        <f>IF($H655="","",$J655*IFERROR(INDEX('Settings'!$L$10:$L$39,MATCH($H655,'Settings'!$I$10:$I$39,0)),0))</f>
        <v/>
      </c>
      <c r="R655" s="17">
        <f>IF($A655="","",$A655-WEEKDAY($A655,2)+1)</f>
        <v/>
      </c>
    </row>
    <row r="656">
      <c r="A656" s="5" t="n">
        <v>46258</v>
      </c>
      <c r="B656" s="4" t="inlineStr">
        <is>
          <t>Main branch</t>
        </is>
      </c>
      <c r="C656" s="4" t="inlineStr">
        <is>
          <t>Main 3</t>
        </is>
      </c>
      <c r="D656" s="4" t="inlineStr">
        <is>
          <t>Dr Ahmed Mansour</t>
        </is>
      </c>
      <c r="E656" s="4" t="inlineStr">
        <is>
          <t>P-3448</t>
        </is>
      </c>
      <c r="F656" s="4" t="inlineStr">
        <is>
          <t>Returning</t>
        </is>
      </c>
      <c r="G656" s="4" t="inlineStr">
        <is>
          <t>Google</t>
        </is>
      </c>
      <c r="H656" s="4" t="inlineStr">
        <is>
          <t>Physiotherapy session</t>
        </is>
      </c>
      <c r="I656" s="9">
        <f>IF($H656="","",IFERROR(INDEX('Settings'!$J$10:$J$39,MATCH($H656,'Settings'!$I$10:$I$39,0)),""))</f>
        <v/>
      </c>
      <c r="J656" s="6" t="n">
        <v>1</v>
      </c>
      <c r="K656" s="8" t="n">
        <v>300</v>
      </c>
      <c r="L656" s="8" t="n"/>
      <c r="M656" s="14">
        <f>IF($A656="","",$J656*$K656)</f>
        <v/>
      </c>
      <c r="N656" s="14">
        <f>IF($A656="","",$M656-$L656)</f>
        <v/>
      </c>
      <c r="O656" s="4" t="inlineStr">
        <is>
          <t>Card</t>
        </is>
      </c>
      <c r="P656" s="15">
        <f>IF($A656="","",DATE(YEAR($A656),MONTH($A656),1))</f>
        <v/>
      </c>
      <c r="Q656" s="16">
        <f>IF($H656="","",$J656*IFERROR(INDEX('Settings'!$L$10:$L$39,MATCH($H656,'Settings'!$I$10:$I$39,0)),0))</f>
        <v/>
      </c>
      <c r="R656" s="17">
        <f>IF($A656="","",$A656-WEEKDAY($A656,2)+1)</f>
        <v/>
      </c>
    </row>
    <row r="657">
      <c r="A657" s="5" t="n">
        <v>46258</v>
      </c>
      <c r="B657" s="4" t="inlineStr">
        <is>
          <t>North branch</t>
        </is>
      </c>
      <c r="C657" s="4" t="inlineStr">
        <is>
          <t>North 1</t>
        </is>
      </c>
      <c r="D657" s="4" t="inlineStr">
        <is>
          <t>Dr Layla Al Qahtani</t>
        </is>
      </c>
      <c r="E657" s="4" t="inlineStr">
        <is>
          <t>P-2982</t>
        </is>
      </c>
      <c r="F657" s="4" t="inlineStr">
        <is>
          <t>Returning</t>
        </is>
      </c>
      <c r="G657" s="4" t="inlineStr">
        <is>
          <t>Walk-in</t>
        </is>
      </c>
      <c r="H657" s="4" t="inlineStr">
        <is>
          <t>Laser session, face</t>
        </is>
      </c>
      <c r="I657" s="9">
        <f>IF($H657="","",IFERROR(INDEX('Settings'!$J$10:$J$39,MATCH($H657,'Settings'!$I$10:$I$39,0)),""))</f>
        <v/>
      </c>
      <c r="J657" s="6" t="n">
        <v>1</v>
      </c>
      <c r="K657" s="8" t="n">
        <v>600</v>
      </c>
      <c r="L657" s="8" t="n"/>
      <c r="M657" s="14">
        <f>IF($A657="","",$J657*$K657)</f>
        <v/>
      </c>
      <c r="N657" s="14">
        <f>IF($A657="","",$M657-$L657)</f>
        <v/>
      </c>
      <c r="O657" s="4" t="inlineStr">
        <is>
          <t>Card</t>
        </is>
      </c>
      <c r="P657" s="15">
        <f>IF($A657="","",DATE(YEAR($A657),MONTH($A657),1))</f>
        <v/>
      </c>
      <c r="Q657" s="16">
        <f>IF($H657="","",$J657*IFERROR(INDEX('Settings'!$L$10:$L$39,MATCH($H657,'Settings'!$I$10:$I$39,0)),0))</f>
        <v/>
      </c>
      <c r="R657" s="17">
        <f>IF($A657="","",$A657-WEEKDAY($A657,2)+1)</f>
        <v/>
      </c>
    </row>
    <row r="658">
      <c r="A658" s="5" t="n">
        <v>46258</v>
      </c>
      <c r="B658" s="4" t="inlineStr">
        <is>
          <t>North branch</t>
        </is>
      </c>
      <c r="C658" s="4" t="inlineStr">
        <is>
          <t>North 1</t>
        </is>
      </c>
      <c r="D658" s="4" t="inlineStr">
        <is>
          <t>Dr Layla Al Qahtani</t>
        </is>
      </c>
      <c r="E658" s="4" t="inlineStr">
        <is>
          <t>P-2840</t>
        </is>
      </c>
      <c r="F658" s="4" t="inlineStr">
        <is>
          <t>Returning</t>
        </is>
      </c>
      <c r="G658" s="4" t="inlineStr">
        <is>
          <t>WhatsApp</t>
        </is>
      </c>
      <c r="H658" s="4" t="inlineStr">
        <is>
          <t>Laser session, body</t>
        </is>
      </c>
      <c r="I658" s="9">
        <f>IF($H658="","",IFERROR(INDEX('Settings'!$J$10:$J$39,MATCH($H658,'Settings'!$I$10:$I$39,0)),""))</f>
        <v/>
      </c>
      <c r="J658" s="6" t="n">
        <v>1</v>
      </c>
      <c r="K658" s="8" t="n">
        <v>1200</v>
      </c>
      <c r="L658" s="8" t="n"/>
      <c r="M658" s="14">
        <f>IF($A658="","",$J658*$K658)</f>
        <v/>
      </c>
      <c r="N658" s="14">
        <f>IF($A658="","",$M658-$L658)</f>
        <v/>
      </c>
      <c r="O658" s="4" t="inlineStr">
        <is>
          <t>Transfer</t>
        </is>
      </c>
      <c r="P658" s="15">
        <f>IF($A658="","",DATE(YEAR($A658),MONTH($A658),1))</f>
        <v/>
      </c>
      <c r="Q658" s="16">
        <f>IF($H658="","",$J658*IFERROR(INDEX('Settings'!$L$10:$L$39,MATCH($H658,'Settings'!$I$10:$I$39,0)),0))</f>
        <v/>
      </c>
      <c r="R658" s="17">
        <f>IF($A658="","",$A658-WEEKDAY($A658,2)+1)</f>
        <v/>
      </c>
    </row>
    <row r="659">
      <c r="A659" s="5" t="n">
        <v>46258</v>
      </c>
      <c r="B659" s="4" t="inlineStr">
        <is>
          <t>North branch</t>
        </is>
      </c>
      <c r="C659" s="4" t="inlineStr">
        <is>
          <t>North 1</t>
        </is>
      </c>
      <c r="D659" s="4" t="inlineStr">
        <is>
          <t>Dr Khaled Youssef</t>
        </is>
      </c>
      <c r="E659" s="4" t="inlineStr">
        <is>
          <t>P-3071</t>
        </is>
      </c>
      <c r="F659" s="4" t="inlineStr">
        <is>
          <t>New</t>
        </is>
      </c>
      <c r="G659" s="4" t="inlineStr">
        <is>
          <t>Walk-in</t>
        </is>
      </c>
      <c r="H659" s="4" t="inlineStr">
        <is>
          <t>Follow-up visit</t>
        </is>
      </c>
      <c r="I659" s="9">
        <f>IF($H659="","",IFERROR(INDEX('Settings'!$J$10:$J$39,MATCH($H659,'Settings'!$I$10:$I$39,0)),""))</f>
        <v/>
      </c>
      <c r="J659" s="6" t="n">
        <v>1</v>
      </c>
      <c r="K659" s="8" t="n">
        <v>150</v>
      </c>
      <c r="L659" s="8" t="n"/>
      <c r="M659" s="14">
        <f>IF($A659="","",$J659*$K659)</f>
        <v/>
      </c>
      <c r="N659" s="14">
        <f>IF($A659="","",$M659-$L659)</f>
        <v/>
      </c>
      <c r="O659" s="4" t="inlineStr">
        <is>
          <t>Cash</t>
        </is>
      </c>
      <c r="P659" s="15">
        <f>IF($A659="","",DATE(YEAR($A659),MONTH($A659),1))</f>
        <v/>
      </c>
      <c r="Q659" s="16">
        <f>IF($H659="","",$J659*IFERROR(INDEX('Settings'!$L$10:$L$39,MATCH($H659,'Settings'!$I$10:$I$39,0)),0))</f>
        <v/>
      </c>
      <c r="R659" s="17">
        <f>IF($A659="","",$A659-WEEKDAY($A659,2)+1)</f>
        <v/>
      </c>
    </row>
    <row r="660">
      <c r="A660" s="5" t="n">
        <v>46258</v>
      </c>
      <c r="B660" s="4" t="inlineStr">
        <is>
          <t>North branch</t>
        </is>
      </c>
      <c r="C660" s="4" t="inlineStr">
        <is>
          <t>North 1</t>
        </is>
      </c>
      <c r="D660" s="4" t="inlineStr">
        <is>
          <t>Dr Mohamed Adel</t>
        </is>
      </c>
      <c r="E660" s="4" t="inlineStr">
        <is>
          <t>P-3118</t>
        </is>
      </c>
      <c r="F660" s="4" t="inlineStr">
        <is>
          <t>Returning</t>
        </is>
      </c>
      <c r="G660" s="4" t="inlineStr">
        <is>
          <t>Walk-in</t>
        </is>
      </c>
      <c r="H660" s="4" t="inlineStr">
        <is>
          <t>Specialist consultation</t>
        </is>
      </c>
      <c r="I660" s="9">
        <f>IF($H660="","",IFERROR(INDEX('Settings'!$J$10:$J$39,MATCH($H660,'Settings'!$I$10:$I$39,0)),""))</f>
        <v/>
      </c>
      <c r="J660" s="6" t="n">
        <v>1</v>
      </c>
      <c r="K660" s="8" t="n">
        <v>350</v>
      </c>
      <c r="L660" s="8" t="n"/>
      <c r="M660" s="14">
        <f>IF($A660="","",$J660*$K660)</f>
        <v/>
      </c>
      <c r="N660" s="14">
        <f>IF($A660="","",$M660-$L660)</f>
        <v/>
      </c>
      <c r="O660" s="4" t="inlineStr">
        <is>
          <t>Card</t>
        </is>
      </c>
      <c r="P660" s="15">
        <f>IF($A660="","",DATE(YEAR($A660),MONTH($A660),1))</f>
        <v/>
      </c>
      <c r="Q660" s="16">
        <f>IF($H660="","",$J660*IFERROR(INDEX('Settings'!$L$10:$L$39,MATCH($H660,'Settings'!$I$10:$I$39,0)),0))</f>
        <v/>
      </c>
      <c r="R660" s="17">
        <f>IF($A660="","",$A660-WEEKDAY($A660,2)+1)</f>
        <v/>
      </c>
    </row>
    <row r="661">
      <c r="A661" s="5" t="n">
        <v>46258</v>
      </c>
      <c r="B661" s="4" t="inlineStr">
        <is>
          <t>North branch</t>
        </is>
      </c>
      <c r="C661" s="4" t="inlineStr">
        <is>
          <t>North 1</t>
        </is>
      </c>
      <c r="D661" s="4" t="inlineStr">
        <is>
          <t>Dr Khaled Youssef</t>
        </is>
      </c>
      <c r="E661" s="4" t="inlineStr">
        <is>
          <t>P-3380</t>
        </is>
      </c>
      <c r="F661" s="4" t="inlineStr">
        <is>
          <t>Returning</t>
        </is>
      </c>
      <c r="G661" s="4" t="inlineStr">
        <is>
          <t>Walk-in</t>
        </is>
      </c>
      <c r="H661" s="4" t="inlineStr">
        <is>
          <t>Follow-up visit</t>
        </is>
      </c>
      <c r="I661" s="9">
        <f>IF($H661="","",IFERROR(INDEX('Settings'!$J$10:$J$39,MATCH($H661,'Settings'!$I$10:$I$39,0)),""))</f>
        <v/>
      </c>
      <c r="J661" s="6" t="n">
        <v>1</v>
      </c>
      <c r="K661" s="8" t="n">
        <v>150</v>
      </c>
      <c r="L661" s="8" t="n"/>
      <c r="M661" s="14">
        <f>IF($A661="","",$J661*$K661)</f>
        <v/>
      </c>
      <c r="N661" s="14">
        <f>IF($A661="","",$M661-$L661)</f>
        <v/>
      </c>
      <c r="O661" s="4" t="inlineStr">
        <is>
          <t>Transfer</t>
        </is>
      </c>
      <c r="P661" s="15">
        <f>IF($A661="","",DATE(YEAR($A661),MONTH($A661),1))</f>
        <v/>
      </c>
      <c r="Q661" s="16">
        <f>IF($H661="","",$J661*IFERROR(INDEX('Settings'!$L$10:$L$39,MATCH($H661,'Settings'!$I$10:$I$39,0)),0))</f>
        <v/>
      </c>
      <c r="R661" s="17">
        <f>IF($A661="","",$A661-WEEKDAY($A661,2)+1)</f>
        <v/>
      </c>
    </row>
    <row r="662">
      <c r="A662" s="5" t="n">
        <v>46258</v>
      </c>
      <c r="B662" s="4" t="inlineStr">
        <is>
          <t>North branch</t>
        </is>
      </c>
      <c r="C662" s="4" t="inlineStr">
        <is>
          <t>North 2</t>
        </is>
      </c>
      <c r="D662" s="4" t="inlineStr">
        <is>
          <t>Dr Khaled Youssef</t>
        </is>
      </c>
      <c r="E662" s="4" t="inlineStr">
        <is>
          <t>P-3164</t>
        </is>
      </c>
      <c r="F662" s="4" t="inlineStr">
        <is>
          <t>New</t>
        </is>
      </c>
      <c r="G662" s="4" t="inlineStr">
        <is>
          <t>Instagram</t>
        </is>
      </c>
      <c r="H662" s="4" t="inlineStr">
        <is>
          <t>Vitamin C serum</t>
        </is>
      </c>
      <c r="I662" s="9">
        <f>IF($H662="","",IFERROR(INDEX('Settings'!$J$10:$J$39,MATCH($H662,'Settings'!$I$10:$I$39,0)),""))</f>
        <v/>
      </c>
      <c r="J662" s="6" t="n">
        <v>1</v>
      </c>
      <c r="K662" s="8" t="n">
        <v>220</v>
      </c>
      <c r="L662" s="8" t="n">
        <v>20</v>
      </c>
      <c r="M662" s="14">
        <f>IF($A662="","",$J662*$K662)</f>
        <v/>
      </c>
      <c r="N662" s="14">
        <f>IF($A662="","",$M662-$L662)</f>
        <v/>
      </c>
      <c r="O662" s="4" t="inlineStr">
        <is>
          <t>Insurance</t>
        </is>
      </c>
      <c r="P662" s="15">
        <f>IF($A662="","",DATE(YEAR($A662),MONTH($A662),1))</f>
        <v/>
      </c>
      <c r="Q662" s="16">
        <f>IF($H662="","",$J662*IFERROR(INDEX('Settings'!$L$10:$L$39,MATCH($H662,'Settings'!$I$10:$I$39,0)),0))</f>
        <v/>
      </c>
      <c r="R662" s="17">
        <f>IF($A662="","",$A662-WEEKDAY($A662,2)+1)</f>
        <v/>
      </c>
    </row>
    <row r="663">
      <c r="A663" s="5" t="n">
        <v>46258</v>
      </c>
      <c r="B663" s="4" t="inlineStr">
        <is>
          <t>North branch</t>
        </is>
      </c>
      <c r="C663" s="4" t="inlineStr">
        <is>
          <t>North 2</t>
        </is>
      </c>
      <c r="D663" s="4" t="inlineStr">
        <is>
          <t>Dr Khaled Youssef</t>
        </is>
      </c>
      <c r="E663" s="4" t="inlineStr">
        <is>
          <t>P-3340</t>
        </is>
      </c>
      <c r="F663" s="4" t="inlineStr">
        <is>
          <t>New</t>
        </is>
      </c>
      <c r="G663" s="4" t="inlineStr">
        <is>
          <t>Instagram</t>
        </is>
      </c>
      <c r="H663" s="4" t="inlineStr">
        <is>
          <t>Follow-up visit</t>
        </is>
      </c>
      <c r="I663" s="9">
        <f>IF($H663="","",IFERROR(INDEX('Settings'!$J$10:$J$39,MATCH($H663,'Settings'!$I$10:$I$39,0)),""))</f>
        <v/>
      </c>
      <c r="J663" s="6" t="n">
        <v>1</v>
      </c>
      <c r="K663" s="8" t="n">
        <v>150</v>
      </c>
      <c r="L663" s="8" t="n"/>
      <c r="M663" s="14">
        <f>IF($A663="","",$J663*$K663)</f>
        <v/>
      </c>
      <c r="N663" s="14">
        <f>IF($A663="","",$M663-$L663)</f>
        <v/>
      </c>
      <c r="O663" s="4" t="inlineStr">
        <is>
          <t>Cash</t>
        </is>
      </c>
      <c r="P663" s="15">
        <f>IF($A663="","",DATE(YEAR($A663),MONTH($A663),1))</f>
        <v/>
      </c>
      <c r="Q663" s="16">
        <f>IF($H663="","",$J663*IFERROR(INDEX('Settings'!$L$10:$L$39,MATCH($H663,'Settings'!$I$10:$I$39,0)),0))</f>
        <v/>
      </c>
      <c r="R663" s="17">
        <f>IF($A663="","",$A663-WEEKDAY($A663,2)+1)</f>
        <v/>
      </c>
    </row>
    <row r="664">
      <c r="A664" s="5" t="n">
        <v>46258</v>
      </c>
      <c r="B664" s="4" t="inlineStr">
        <is>
          <t>North branch</t>
        </is>
      </c>
      <c r="C664" s="4" t="inlineStr">
        <is>
          <t>North 2</t>
        </is>
      </c>
      <c r="D664" s="4" t="inlineStr">
        <is>
          <t>Dr Mohamed Adel</t>
        </is>
      </c>
      <c r="E664" s="4" t="inlineStr">
        <is>
          <t>P-3216</t>
        </is>
      </c>
      <c r="F664" s="4" t="inlineStr">
        <is>
          <t>New</t>
        </is>
      </c>
      <c r="G664" s="4" t="inlineStr">
        <is>
          <t>Walk-in</t>
        </is>
      </c>
      <c r="H664" s="4" t="inlineStr">
        <is>
          <t>Sunscreen cream</t>
        </is>
      </c>
      <c r="I664" s="9">
        <f>IF($H664="","",IFERROR(INDEX('Settings'!$J$10:$J$39,MATCH($H664,'Settings'!$I$10:$I$39,0)),""))</f>
        <v/>
      </c>
      <c r="J664" s="6" t="n">
        <v>1</v>
      </c>
      <c r="K664" s="8" t="n">
        <v>120</v>
      </c>
      <c r="L664" s="8" t="n"/>
      <c r="M664" s="14">
        <f>IF($A664="","",$J664*$K664)</f>
        <v/>
      </c>
      <c r="N664" s="14">
        <f>IF($A664="","",$M664-$L664)</f>
        <v/>
      </c>
      <c r="O664" s="4" t="inlineStr">
        <is>
          <t>Card</t>
        </is>
      </c>
      <c r="P664" s="15">
        <f>IF($A664="","",DATE(YEAR($A664),MONTH($A664),1))</f>
        <v/>
      </c>
      <c r="Q664" s="16">
        <f>IF($H664="","",$J664*IFERROR(INDEX('Settings'!$L$10:$L$39,MATCH($H664,'Settings'!$I$10:$I$39,0)),0))</f>
        <v/>
      </c>
      <c r="R664" s="17">
        <f>IF($A664="","",$A664-WEEKDAY($A664,2)+1)</f>
        <v/>
      </c>
    </row>
    <row r="665">
      <c r="A665" s="5" t="n">
        <v>46258</v>
      </c>
      <c r="B665" s="4" t="inlineStr">
        <is>
          <t>North branch</t>
        </is>
      </c>
      <c r="C665" s="4" t="inlineStr">
        <is>
          <t>North 2</t>
        </is>
      </c>
      <c r="D665" s="4" t="inlineStr">
        <is>
          <t>Dr Layla Al Qahtani</t>
        </is>
      </c>
      <c r="E665" s="4" t="inlineStr">
        <is>
          <t>P-2131</t>
        </is>
      </c>
      <c r="F665" s="4" t="inlineStr">
        <is>
          <t>Returning</t>
        </is>
      </c>
      <c r="G665" s="4" t="inlineStr">
        <is>
          <t>Referral</t>
        </is>
      </c>
      <c r="H665" s="4" t="inlineStr">
        <is>
          <t>Facial cleansing</t>
        </is>
      </c>
      <c r="I665" s="9">
        <f>IF($H665="","",IFERROR(INDEX('Settings'!$J$10:$J$39,MATCH($H665,'Settings'!$I$10:$I$39,0)),""))</f>
        <v/>
      </c>
      <c r="J665" s="6" t="n">
        <v>1</v>
      </c>
      <c r="K665" s="8" t="n">
        <v>400</v>
      </c>
      <c r="L665" s="8" t="n">
        <v>20</v>
      </c>
      <c r="M665" s="14">
        <f>IF($A665="","",$J665*$K665)</f>
        <v/>
      </c>
      <c r="N665" s="14">
        <f>IF($A665="","",$M665-$L665)</f>
        <v/>
      </c>
      <c r="O665" s="4" t="inlineStr">
        <is>
          <t>Transfer</t>
        </is>
      </c>
      <c r="P665" s="15">
        <f>IF($A665="","",DATE(YEAR($A665),MONTH($A665),1))</f>
        <v/>
      </c>
      <c r="Q665" s="16">
        <f>IF($H665="","",$J665*IFERROR(INDEX('Settings'!$L$10:$L$39,MATCH($H665,'Settings'!$I$10:$I$39,0)),0))</f>
        <v/>
      </c>
      <c r="R665" s="17">
        <f>IF($A665="","",$A665-WEEKDAY($A665,2)+1)</f>
        <v/>
      </c>
    </row>
    <row r="666">
      <c r="A666" s="5" t="n">
        <v>46259</v>
      </c>
      <c r="B666" s="4" t="inlineStr">
        <is>
          <t>Main branch</t>
        </is>
      </c>
      <c r="C666" s="4" t="inlineStr">
        <is>
          <t>Main 2</t>
        </is>
      </c>
      <c r="D666" s="4" t="inlineStr">
        <is>
          <t>Dr Sara Al Harbi</t>
        </is>
      </c>
      <c r="E666" s="4" t="inlineStr">
        <is>
          <t>P-2120</t>
        </is>
      </c>
      <c r="F666" s="4" t="inlineStr">
        <is>
          <t>Returning</t>
        </is>
      </c>
      <c r="G666" s="4" t="inlineStr">
        <is>
          <t>Google</t>
        </is>
      </c>
      <c r="H666" s="4" t="inlineStr">
        <is>
          <t>Follow-up visit</t>
        </is>
      </c>
      <c r="I666" s="9">
        <f>IF($H666="","",IFERROR(INDEX('Settings'!$J$10:$J$39,MATCH($H666,'Settings'!$I$10:$I$39,0)),""))</f>
        <v/>
      </c>
      <c r="J666" s="6" t="n">
        <v>1</v>
      </c>
      <c r="K666" s="8" t="n">
        <v>150</v>
      </c>
      <c r="L666" s="8" t="n"/>
      <c r="M666" s="14">
        <f>IF($A666="","",$J666*$K666)</f>
        <v/>
      </c>
      <c r="N666" s="14">
        <f>IF($A666="","",$M666-$L666)</f>
        <v/>
      </c>
      <c r="O666" s="4" t="inlineStr">
        <is>
          <t>Card</t>
        </is>
      </c>
      <c r="P666" s="15">
        <f>IF($A666="","",DATE(YEAR($A666),MONTH($A666),1))</f>
        <v/>
      </c>
      <c r="Q666" s="16">
        <f>IF($H666="","",$J666*IFERROR(INDEX('Settings'!$L$10:$L$39,MATCH($H666,'Settings'!$I$10:$I$39,0)),0))</f>
        <v/>
      </c>
      <c r="R666" s="17">
        <f>IF($A666="","",$A666-WEEKDAY($A666,2)+1)</f>
        <v/>
      </c>
    </row>
    <row r="667">
      <c r="A667" s="5" t="n">
        <v>46259</v>
      </c>
      <c r="B667" s="4" t="inlineStr">
        <is>
          <t>Main branch</t>
        </is>
      </c>
      <c r="C667" s="4" t="inlineStr">
        <is>
          <t>Main 2</t>
        </is>
      </c>
      <c r="D667" s="4" t="inlineStr">
        <is>
          <t>Dr Sara Al Harbi</t>
        </is>
      </c>
      <c r="E667" s="4" t="inlineStr">
        <is>
          <t>P-2609</t>
        </is>
      </c>
      <c r="F667" s="4" t="inlineStr">
        <is>
          <t>Returning</t>
        </is>
      </c>
      <c r="G667" s="4" t="inlineStr">
        <is>
          <t>Google</t>
        </is>
      </c>
      <c r="H667" s="4" t="inlineStr">
        <is>
          <t>Laser session, body</t>
        </is>
      </c>
      <c r="I667" s="9">
        <f>IF($H667="","",IFERROR(INDEX('Settings'!$J$10:$J$39,MATCH($H667,'Settings'!$I$10:$I$39,0)),""))</f>
        <v/>
      </c>
      <c r="J667" s="6" t="n">
        <v>1</v>
      </c>
      <c r="K667" s="8" t="n">
        <v>1200</v>
      </c>
      <c r="L667" s="8" t="n"/>
      <c r="M667" s="14">
        <f>IF($A667="","",$J667*$K667)</f>
        <v/>
      </c>
      <c r="N667" s="14">
        <f>IF($A667="","",$M667-$L667)</f>
        <v/>
      </c>
      <c r="O667" s="4" t="inlineStr">
        <is>
          <t>Card</t>
        </is>
      </c>
      <c r="P667" s="15">
        <f>IF($A667="","",DATE(YEAR($A667),MONTH($A667),1))</f>
        <v/>
      </c>
      <c r="Q667" s="16">
        <f>IF($H667="","",$J667*IFERROR(INDEX('Settings'!$L$10:$L$39,MATCH($H667,'Settings'!$I$10:$I$39,0)),0))</f>
        <v/>
      </c>
      <c r="R667" s="17">
        <f>IF($A667="","",$A667-WEEKDAY($A667,2)+1)</f>
        <v/>
      </c>
    </row>
    <row r="668">
      <c r="A668" s="5" t="n">
        <v>46259</v>
      </c>
      <c r="B668" s="4" t="inlineStr">
        <is>
          <t>Main branch</t>
        </is>
      </c>
      <c r="C668" s="4" t="inlineStr">
        <is>
          <t>Main 2</t>
        </is>
      </c>
      <c r="D668" s="4" t="inlineStr">
        <is>
          <t>Dr Ahmed Mansour</t>
        </is>
      </c>
      <c r="E668" s="4" t="inlineStr">
        <is>
          <t>P-3009</t>
        </is>
      </c>
      <c r="F668" s="4" t="inlineStr">
        <is>
          <t>Returning</t>
        </is>
      </c>
      <c r="G668" s="4" t="inlineStr">
        <is>
          <t>Referral</t>
        </is>
      </c>
      <c r="H668" s="4" t="inlineStr">
        <is>
          <t>Vitamin C serum</t>
        </is>
      </c>
      <c r="I668" s="9">
        <f>IF($H668="","",IFERROR(INDEX('Settings'!$J$10:$J$39,MATCH($H668,'Settings'!$I$10:$I$39,0)),""))</f>
        <v/>
      </c>
      <c r="J668" s="6" t="n">
        <v>1</v>
      </c>
      <c r="K668" s="8" t="n">
        <v>220</v>
      </c>
      <c r="L668" s="8" t="n"/>
      <c r="M668" s="14">
        <f>IF($A668="","",$J668*$K668)</f>
        <v/>
      </c>
      <c r="N668" s="14">
        <f>IF($A668="","",$M668-$L668)</f>
        <v/>
      </c>
      <c r="O668" s="4" t="inlineStr">
        <is>
          <t>Insurance</t>
        </is>
      </c>
      <c r="P668" s="15">
        <f>IF($A668="","",DATE(YEAR($A668),MONTH($A668),1))</f>
        <v/>
      </c>
      <c r="Q668" s="16">
        <f>IF($H668="","",$J668*IFERROR(INDEX('Settings'!$L$10:$L$39,MATCH($H668,'Settings'!$I$10:$I$39,0)),0))</f>
        <v/>
      </c>
      <c r="R668" s="17">
        <f>IF($A668="","",$A668-WEEKDAY($A668,2)+1)</f>
        <v/>
      </c>
    </row>
    <row r="669">
      <c r="A669" s="5" t="n">
        <v>46259</v>
      </c>
      <c r="B669" s="4" t="inlineStr">
        <is>
          <t>Main branch</t>
        </is>
      </c>
      <c r="C669" s="4" t="inlineStr">
        <is>
          <t>Main 3</t>
        </is>
      </c>
      <c r="D669" s="4" t="inlineStr">
        <is>
          <t>Dr Ahmed Mansour</t>
        </is>
      </c>
      <c r="E669" s="4" t="inlineStr">
        <is>
          <t>P-2691</t>
        </is>
      </c>
      <c r="F669" s="4" t="inlineStr">
        <is>
          <t>New</t>
        </is>
      </c>
      <c r="G669" s="4" t="inlineStr">
        <is>
          <t>Walk-in</t>
        </is>
      </c>
      <c r="H669" s="4" t="inlineStr">
        <is>
          <t>Facial cleansing</t>
        </is>
      </c>
      <c r="I669" s="9">
        <f>IF($H669="","",IFERROR(INDEX('Settings'!$J$10:$J$39,MATCH($H669,'Settings'!$I$10:$I$39,0)),""))</f>
        <v/>
      </c>
      <c r="J669" s="6" t="n">
        <v>1</v>
      </c>
      <c r="K669" s="8" t="n">
        <v>400</v>
      </c>
      <c r="L669" s="8" t="n"/>
      <c r="M669" s="14">
        <f>IF($A669="","",$J669*$K669)</f>
        <v/>
      </c>
      <c r="N669" s="14">
        <f>IF($A669="","",$M669-$L669)</f>
        <v/>
      </c>
      <c r="O669" s="4" t="inlineStr">
        <is>
          <t>Card</t>
        </is>
      </c>
      <c r="P669" s="15">
        <f>IF($A669="","",DATE(YEAR($A669),MONTH($A669),1))</f>
        <v/>
      </c>
      <c r="Q669" s="16">
        <f>IF($H669="","",$J669*IFERROR(INDEX('Settings'!$L$10:$L$39,MATCH($H669,'Settings'!$I$10:$I$39,0)),0))</f>
        <v/>
      </c>
      <c r="R669" s="17">
        <f>IF($A669="","",$A669-WEEKDAY($A669,2)+1)</f>
        <v/>
      </c>
    </row>
    <row r="670">
      <c r="A670" s="5" t="n">
        <v>46259</v>
      </c>
      <c r="B670" s="4" t="inlineStr">
        <is>
          <t>Main branch</t>
        </is>
      </c>
      <c r="C670" s="4" t="inlineStr">
        <is>
          <t>Main 3</t>
        </is>
      </c>
      <c r="D670" s="4" t="inlineStr">
        <is>
          <t>Dr Sara Al Harbi</t>
        </is>
      </c>
      <c r="E670" s="4" t="inlineStr">
        <is>
          <t>P-3001</t>
        </is>
      </c>
      <c r="F670" s="4" t="inlineStr">
        <is>
          <t>Returning</t>
        </is>
      </c>
      <c r="G670" s="4" t="inlineStr">
        <is>
          <t>Walk-in</t>
        </is>
      </c>
      <c r="H670" s="4" t="inlineStr">
        <is>
          <t>Skin tag removal</t>
        </is>
      </c>
      <c r="I670" s="9">
        <f>IF($H670="","",IFERROR(INDEX('Settings'!$J$10:$J$39,MATCH($H670,'Settings'!$I$10:$I$39,0)),""))</f>
        <v/>
      </c>
      <c r="J670" s="6" t="n">
        <v>1</v>
      </c>
      <c r="K670" s="8" t="n">
        <v>500</v>
      </c>
      <c r="L670" s="8" t="n"/>
      <c r="M670" s="14">
        <f>IF($A670="","",$J670*$K670)</f>
        <v/>
      </c>
      <c r="N670" s="14">
        <f>IF($A670="","",$M670-$L670)</f>
        <v/>
      </c>
      <c r="O670" s="4" t="inlineStr">
        <is>
          <t>Payment link</t>
        </is>
      </c>
      <c r="P670" s="15">
        <f>IF($A670="","",DATE(YEAR($A670),MONTH($A670),1))</f>
        <v/>
      </c>
      <c r="Q670" s="16">
        <f>IF($H670="","",$J670*IFERROR(INDEX('Settings'!$L$10:$L$39,MATCH($H670,'Settings'!$I$10:$I$39,0)),0))</f>
        <v/>
      </c>
      <c r="R670" s="17">
        <f>IF($A670="","",$A670-WEEKDAY($A670,2)+1)</f>
        <v/>
      </c>
    </row>
    <row r="671">
      <c r="A671" s="5" t="n">
        <v>46259</v>
      </c>
      <c r="B671" s="4" t="inlineStr">
        <is>
          <t>Main branch</t>
        </is>
      </c>
      <c r="C671" s="4" t="inlineStr">
        <is>
          <t>Main 3</t>
        </is>
      </c>
      <c r="D671" s="4" t="inlineStr">
        <is>
          <t>Dr Ahmed Mansour</t>
        </is>
      </c>
      <c r="E671" s="4" t="inlineStr">
        <is>
          <t>P-2468</t>
        </is>
      </c>
      <c r="F671" s="4" t="inlineStr">
        <is>
          <t>New</t>
        </is>
      </c>
      <c r="G671" s="4" t="inlineStr">
        <is>
          <t>WhatsApp</t>
        </is>
      </c>
      <c r="H671" s="4" t="inlineStr">
        <is>
          <t>Specialist consultation</t>
        </is>
      </c>
      <c r="I671" s="9">
        <f>IF($H671="","",IFERROR(INDEX('Settings'!$J$10:$J$39,MATCH($H671,'Settings'!$I$10:$I$39,0)),""))</f>
        <v/>
      </c>
      <c r="J671" s="6" t="n">
        <v>1</v>
      </c>
      <c r="K671" s="8" t="n">
        <v>350</v>
      </c>
      <c r="L671" s="8" t="n"/>
      <c r="M671" s="14">
        <f>IF($A671="","",$J671*$K671)</f>
        <v/>
      </c>
      <c r="N671" s="14">
        <f>IF($A671="","",$M671-$L671)</f>
        <v/>
      </c>
      <c r="O671" s="4" t="inlineStr">
        <is>
          <t>Card</t>
        </is>
      </c>
      <c r="P671" s="15">
        <f>IF($A671="","",DATE(YEAR($A671),MONTH($A671),1))</f>
        <v/>
      </c>
      <c r="Q671" s="16">
        <f>IF($H671="","",$J671*IFERROR(INDEX('Settings'!$L$10:$L$39,MATCH($H671,'Settings'!$I$10:$I$39,0)),0))</f>
        <v/>
      </c>
      <c r="R671" s="17">
        <f>IF($A671="","",$A671-WEEKDAY($A671,2)+1)</f>
        <v/>
      </c>
    </row>
    <row r="672">
      <c r="A672" s="5" t="n">
        <v>46259</v>
      </c>
      <c r="B672" s="4" t="inlineStr">
        <is>
          <t>Main branch</t>
        </is>
      </c>
      <c r="C672" s="4" t="inlineStr">
        <is>
          <t>Main 3</t>
        </is>
      </c>
      <c r="D672" s="4" t="inlineStr">
        <is>
          <t>Dr Noura Al Subaie</t>
        </is>
      </c>
      <c r="E672" s="4" t="inlineStr">
        <is>
          <t>P-3148</t>
        </is>
      </c>
      <c r="F672" s="4" t="inlineStr">
        <is>
          <t>Returning</t>
        </is>
      </c>
      <c r="G672" s="4" t="inlineStr">
        <is>
          <t>Google</t>
        </is>
      </c>
      <c r="H672" s="4" t="inlineStr">
        <is>
          <t>Specialist consultation</t>
        </is>
      </c>
      <c r="I672" s="9">
        <f>IF($H672="","",IFERROR(INDEX('Settings'!$J$10:$J$39,MATCH($H672,'Settings'!$I$10:$I$39,0)),""))</f>
        <v/>
      </c>
      <c r="J672" s="6" t="n">
        <v>1</v>
      </c>
      <c r="K672" s="8" t="n">
        <v>350</v>
      </c>
      <c r="L672" s="8" t="n"/>
      <c r="M672" s="14">
        <f>IF($A672="","",$J672*$K672)</f>
        <v/>
      </c>
      <c r="N672" s="14">
        <f>IF($A672="","",$M672-$L672)</f>
        <v/>
      </c>
      <c r="O672" s="4" t="inlineStr">
        <is>
          <t>Cash</t>
        </is>
      </c>
      <c r="P672" s="15">
        <f>IF($A672="","",DATE(YEAR($A672),MONTH($A672),1))</f>
        <v/>
      </c>
      <c r="Q672" s="16">
        <f>IF($H672="","",$J672*IFERROR(INDEX('Settings'!$L$10:$L$39,MATCH($H672,'Settings'!$I$10:$I$39,0)),0))</f>
        <v/>
      </c>
      <c r="R672" s="17">
        <f>IF($A672="","",$A672-WEEKDAY($A672,2)+1)</f>
        <v/>
      </c>
    </row>
    <row r="673">
      <c r="A673" s="5" t="n">
        <v>46259</v>
      </c>
      <c r="B673" s="4" t="inlineStr">
        <is>
          <t>Main branch</t>
        </is>
      </c>
      <c r="C673" s="4" t="inlineStr">
        <is>
          <t>Main 4</t>
        </is>
      </c>
      <c r="D673" s="4" t="inlineStr">
        <is>
          <t>Dr Sara Al Harbi</t>
        </is>
      </c>
      <c r="E673" s="4" t="inlineStr">
        <is>
          <t>P-3131</t>
        </is>
      </c>
      <c r="F673" s="4" t="inlineStr">
        <is>
          <t>Returning</t>
        </is>
      </c>
      <c r="G673" s="4" t="inlineStr">
        <is>
          <t>Walk-in</t>
        </is>
      </c>
      <c r="H673" s="4" t="inlineStr">
        <is>
          <t>Specialist consultation</t>
        </is>
      </c>
      <c r="I673" s="9">
        <f>IF($H673="","",IFERROR(INDEX('Settings'!$J$10:$J$39,MATCH($H673,'Settings'!$I$10:$I$39,0)),""))</f>
        <v/>
      </c>
      <c r="J673" s="6" t="n">
        <v>1</v>
      </c>
      <c r="K673" s="8" t="n">
        <v>350</v>
      </c>
      <c r="L673" s="8" t="n"/>
      <c r="M673" s="14">
        <f>IF($A673="","",$J673*$K673)</f>
        <v/>
      </c>
      <c r="N673" s="14">
        <f>IF($A673="","",$M673-$L673)</f>
        <v/>
      </c>
      <c r="O673" s="4" t="inlineStr">
        <is>
          <t>Card</t>
        </is>
      </c>
      <c r="P673" s="15">
        <f>IF($A673="","",DATE(YEAR($A673),MONTH($A673),1))</f>
        <v/>
      </c>
      <c r="Q673" s="16">
        <f>IF($H673="","",$J673*IFERROR(INDEX('Settings'!$L$10:$L$39,MATCH($H673,'Settings'!$I$10:$I$39,0)),0))</f>
        <v/>
      </c>
      <c r="R673" s="17">
        <f>IF($A673="","",$A673-WEEKDAY($A673,2)+1)</f>
        <v/>
      </c>
    </row>
    <row r="674">
      <c r="A674" s="5" t="n">
        <v>46259</v>
      </c>
      <c r="B674" s="4" t="inlineStr">
        <is>
          <t>North branch</t>
        </is>
      </c>
      <c r="C674" s="4" t="inlineStr">
        <is>
          <t>North 1</t>
        </is>
      </c>
      <c r="D674" s="4" t="inlineStr">
        <is>
          <t>Dr Layla Al Qahtani</t>
        </is>
      </c>
      <c r="E674" s="4" t="inlineStr">
        <is>
          <t>P-2308</t>
        </is>
      </c>
      <c r="F674" s="4" t="inlineStr">
        <is>
          <t>New</t>
        </is>
      </c>
      <c r="G674" s="4" t="inlineStr">
        <is>
          <t>Walk-in</t>
        </is>
      </c>
      <c r="H674" s="4" t="inlineStr">
        <is>
          <t>Specialist consultation</t>
        </is>
      </c>
      <c r="I674" s="9">
        <f>IF($H674="","",IFERROR(INDEX('Settings'!$J$10:$J$39,MATCH($H674,'Settings'!$I$10:$I$39,0)),""))</f>
        <v/>
      </c>
      <c r="J674" s="6" t="n">
        <v>1</v>
      </c>
      <c r="K674" s="8" t="n">
        <v>350</v>
      </c>
      <c r="L674" s="8" t="n"/>
      <c r="M674" s="14">
        <f>IF($A674="","",$J674*$K674)</f>
        <v/>
      </c>
      <c r="N674" s="14">
        <f>IF($A674="","",$M674-$L674)</f>
        <v/>
      </c>
      <c r="O674" s="4" t="inlineStr">
        <is>
          <t>Payment link</t>
        </is>
      </c>
      <c r="P674" s="15">
        <f>IF($A674="","",DATE(YEAR($A674),MONTH($A674),1))</f>
        <v/>
      </c>
      <c r="Q674" s="16">
        <f>IF($H674="","",$J674*IFERROR(INDEX('Settings'!$L$10:$L$39,MATCH($H674,'Settings'!$I$10:$I$39,0)),0))</f>
        <v/>
      </c>
      <c r="R674" s="17">
        <f>IF($A674="","",$A674-WEEKDAY($A674,2)+1)</f>
        <v/>
      </c>
    </row>
    <row r="675">
      <c r="A675" s="5" t="n">
        <v>46259</v>
      </c>
      <c r="B675" s="4" t="inlineStr">
        <is>
          <t>North branch</t>
        </is>
      </c>
      <c r="C675" s="4" t="inlineStr">
        <is>
          <t>North 1</t>
        </is>
      </c>
      <c r="D675" s="4" t="inlineStr">
        <is>
          <t>Dr Khaled Youssef</t>
        </is>
      </c>
      <c r="E675" s="4" t="inlineStr">
        <is>
          <t>P-2838</t>
        </is>
      </c>
      <c r="F675" s="4" t="inlineStr">
        <is>
          <t>New</t>
        </is>
      </c>
      <c r="G675" s="4" t="inlineStr">
        <is>
          <t>WhatsApp</t>
        </is>
      </c>
      <c r="H675" s="4" t="inlineStr">
        <is>
          <t>Facial cleansing</t>
        </is>
      </c>
      <c r="I675" s="9">
        <f>IF($H675="","",IFERROR(INDEX('Settings'!$J$10:$J$39,MATCH($H675,'Settings'!$I$10:$I$39,0)),""))</f>
        <v/>
      </c>
      <c r="J675" s="6" t="n">
        <v>1</v>
      </c>
      <c r="K675" s="8" t="n">
        <v>400</v>
      </c>
      <c r="L675" s="8" t="n"/>
      <c r="M675" s="14">
        <f>IF($A675="","",$J675*$K675)</f>
        <v/>
      </c>
      <c r="N675" s="14">
        <f>IF($A675="","",$M675-$L675)</f>
        <v/>
      </c>
      <c r="O675" s="4" t="inlineStr">
        <is>
          <t>Card</t>
        </is>
      </c>
      <c r="P675" s="15">
        <f>IF($A675="","",DATE(YEAR($A675),MONTH($A675),1))</f>
        <v/>
      </c>
      <c r="Q675" s="16">
        <f>IF($H675="","",$J675*IFERROR(INDEX('Settings'!$L$10:$L$39,MATCH($H675,'Settings'!$I$10:$I$39,0)),0))</f>
        <v/>
      </c>
      <c r="R675" s="17">
        <f>IF($A675="","",$A675-WEEKDAY($A675,2)+1)</f>
        <v/>
      </c>
    </row>
    <row r="676">
      <c r="A676" s="5" t="n">
        <v>46259</v>
      </c>
      <c r="B676" s="4" t="inlineStr">
        <is>
          <t>North branch</t>
        </is>
      </c>
      <c r="C676" s="4" t="inlineStr">
        <is>
          <t>North 1</t>
        </is>
      </c>
      <c r="D676" s="4" t="inlineStr">
        <is>
          <t>Dr Mohamed Adel</t>
        </is>
      </c>
      <c r="E676" s="4" t="inlineStr">
        <is>
          <t>P-2895</t>
        </is>
      </c>
      <c r="F676" s="4" t="inlineStr">
        <is>
          <t>Returning</t>
        </is>
      </c>
      <c r="G676" s="4" t="inlineStr">
        <is>
          <t>Google</t>
        </is>
      </c>
      <c r="H676" s="4" t="inlineStr">
        <is>
          <t>Facial cleansing</t>
        </is>
      </c>
      <c r="I676" s="9">
        <f>IF($H676="","",IFERROR(INDEX('Settings'!$J$10:$J$39,MATCH($H676,'Settings'!$I$10:$I$39,0)),""))</f>
        <v/>
      </c>
      <c r="J676" s="6" t="n">
        <v>1</v>
      </c>
      <c r="K676" s="8" t="n">
        <v>400</v>
      </c>
      <c r="L676" s="8" t="n">
        <v>40</v>
      </c>
      <c r="M676" s="14">
        <f>IF($A676="","",$J676*$K676)</f>
        <v/>
      </c>
      <c r="N676" s="14">
        <f>IF($A676="","",$M676-$L676)</f>
        <v/>
      </c>
      <c r="O676" s="4" t="inlineStr">
        <is>
          <t>Card</t>
        </is>
      </c>
      <c r="P676" s="15">
        <f>IF($A676="","",DATE(YEAR($A676),MONTH($A676),1))</f>
        <v/>
      </c>
      <c r="Q676" s="16">
        <f>IF($H676="","",$J676*IFERROR(INDEX('Settings'!$L$10:$L$39,MATCH($H676,'Settings'!$I$10:$I$39,0)),0))</f>
        <v/>
      </c>
      <c r="R676" s="17">
        <f>IF($A676="","",$A676-WEEKDAY($A676,2)+1)</f>
        <v/>
      </c>
    </row>
    <row r="677">
      <c r="A677" s="5" t="n">
        <v>46259</v>
      </c>
      <c r="B677" s="4" t="inlineStr">
        <is>
          <t>North branch</t>
        </is>
      </c>
      <c r="C677" s="4" t="inlineStr">
        <is>
          <t>North 1</t>
        </is>
      </c>
      <c r="D677" s="4" t="inlineStr">
        <is>
          <t>Dr Khaled Youssef</t>
        </is>
      </c>
      <c r="E677" s="4" t="inlineStr">
        <is>
          <t>P-2229</t>
        </is>
      </c>
      <c r="F677" s="4" t="inlineStr">
        <is>
          <t>New</t>
        </is>
      </c>
      <c r="G677" s="4" t="inlineStr">
        <is>
          <t>Instagram</t>
        </is>
      </c>
      <c r="H677" s="4" t="inlineStr">
        <is>
          <t>Specialist consultation</t>
        </is>
      </c>
      <c r="I677" s="9">
        <f>IF($H677="","",IFERROR(INDEX('Settings'!$J$10:$J$39,MATCH($H677,'Settings'!$I$10:$I$39,0)),""))</f>
        <v/>
      </c>
      <c r="J677" s="6" t="n">
        <v>1</v>
      </c>
      <c r="K677" s="8" t="n">
        <v>350</v>
      </c>
      <c r="L677" s="8" t="n"/>
      <c r="M677" s="14">
        <f>IF($A677="","",$J677*$K677)</f>
        <v/>
      </c>
      <c r="N677" s="14">
        <f>IF($A677="","",$M677-$L677)</f>
        <v/>
      </c>
      <c r="O677" s="4" t="inlineStr">
        <is>
          <t>Card</t>
        </is>
      </c>
      <c r="P677" s="15">
        <f>IF($A677="","",DATE(YEAR($A677),MONTH($A677),1))</f>
        <v/>
      </c>
      <c r="Q677" s="16">
        <f>IF($H677="","",$J677*IFERROR(INDEX('Settings'!$L$10:$L$39,MATCH($H677,'Settings'!$I$10:$I$39,0)),0))</f>
        <v/>
      </c>
      <c r="R677" s="17">
        <f>IF($A677="","",$A677-WEEKDAY($A677,2)+1)</f>
        <v/>
      </c>
    </row>
    <row r="678">
      <c r="A678" s="5" t="n">
        <v>46259</v>
      </c>
      <c r="B678" s="4" t="inlineStr">
        <is>
          <t>North branch</t>
        </is>
      </c>
      <c r="C678" s="4" t="inlineStr">
        <is>
          <t>North 2</t>
        </is>
      </c>
      <c r="D678" s="4" t="inlineStr">
        <is>
          <t>Dr Khaled Youssef</t>
        </is>
      </c>
      <c r="E678" s="4" t="inlineStr">
        <is>
          <t>P-3185</t>
        </is>
      </c>
      <c r="F678" s="4" t="inlineStr">
        <is>
          <t>New</t>
        </is>
      </c>
      <c r="G678" s="4" t="inlineStr">
        <is>
          <t>Google</t>
        </is>
      </c>
      <c r="H678" s="4" t="inlineStr">
        <is>
          <t>Facial cleansing</t>
        </is>
      </c>
      <c r="I678" s="9">
        <f>IF($H678="","",IFERROR(INDEX('Settings'!$J$10:$J$39,MATCH($H678,'Settings'!$I$10:$I$39,0)),""))</f>
        <v/>
      </c>
      <c r="J678" s="6" t="n">
        <v>1</v>
      </c>
      <c r="K678" s="8" t="n">
        <v>400</v>
      </c>
      <c r="L678" s="8" t="n"/>
      <c r="M678" s="14">
        <f>IF($A678="","",$J678*$K678)</f>
        <v/>
      </c>
      <c r="N678" s="14">
        <f>IF($A678="","",$M678-$L678)</f>
        <v/>
      </c>
      <c r="O678" s="4" t="inlineStr">
        <is>
          <t>Payment link</t>
        </is>
      </c>
      <c r="P678" s="15">
        <f>IF($A678="","",DATE(YEAR($A678),MONTH($A678),1))</f>
        <v/>
      </c>
      <c r="Q678" s="16">
        <f>IF($H678="","",$J678*IFERROR(INDEX('Settings'!$L$10:$L$39,MATCH($H678,'Settings'!$I$10:$I$39,0)),0))</f>
        <v/>
      </c>
      <c r="R678" s="17">
        <f>IF($A678="","",$A678-WEEKDAY($A678,2)+1)</f>
        <v/>
      </c>
    </row>
    <row r="679">
      <c r="A679" s="5" t="n">
        <v>46259</v>
      </c>
      <c r="B679" s="4" t="inlineStr">
        <is>
          <t>North branch</t>
        </is>
      </c>
      <c r="C679" s="4" t="inlineStr">
        <is>
          <t>North 2</t>
        </is>
      </c>
      <c r="D679" s="4" t="inlineStr">
        <is>
          <t>Dr Mohamed Adel</t>
        </is>
      </c>
      <c r="E679" s="4" t="inlineStr">
        <is>
          <t>P-2799</t>
        </is>
      </c>
      <c r="F679" s="4" t="inlineStr">
        <is>
          <t>Returning</t>
        </is>
      </c>
      <c r="G679" s="4" t="inlineStr">
        <is>
          <t>Referral</t>
        </is>
      </c>
      <c r="H679" s="4" t="inlineStr">
        <is>
          <t>Botulinum toxin</t>
        </is>
      </c>
      <c r="I679" s="9">
        <f>IF($H679="","",IFERROR(INDEX('Settings'!$J$10:$J$39,MATCH($H679,'Settings'!$I$10:$I$39,0)),""))</f>
        <v/>
      </c>
      <c r="J679" s="6" t="n">
        <v>1</v>
      </c>
      <c r="K679" s="8" t="n">
        <v>1500</v>
      </c>
      <c r="L679" s="8" t="n"/>
      <c r="M679" s="14">
        <f>IF($A679="","",$J679*$K679)</f>
        <v/>
      </c>
      <c r="N679" s="14">
        <f>IF($A679="","",$M679-$L679)</f>
        <v/>
      </c>
      <c r="O679" s="4" t="inlineStr">
        <is>
          <t>Card</t>
        </is>
      </c>
      <c r="P679" s="15">
        <f>IF($A679="","",DATE(YEAR($A679),MONTH($A679),1))</f>
        <v/>
      </c>
      <c r="Q679" s="16">
        <f>IF($H679="","",$J679*IFERROR(INDEX('Settings'!$L$10:$L$39,MATCH($H679,'Settings'!$I$10:$I$39,0)),0))</f>
        <v/>
      </c>
      <c r="R679" s="17">
        <f>IF($A679="","",$A679-WEEKDAY($A679,2)+1)</f>
        <v/>
      </c>
    </row>
    <row r="680">
      <c r="A680" s="5" t="n">
        <v>46259</v>
      </c>
      <c r="B680" s="4" t="inlineStr">
        <is>
          <t>North branch</t>
        </is>
      </c>
      <c r="C680" s="4" t="inlineStr">
        <is>
          <t>North 2</t>
        </is>
      </c>
      <c r="D680" s="4" t="inlineStr">
        <is>
          <t>Dr Mohamed Adel</t>
        </is>
      </c>
      <c r="E680" s="4" t="inlineStr">
        <is>
          <t>P-3026</t>
        </is>
      </c>
      <c r="F680" s="4" t="inlineStr">
        <is>
          <t>Returning</t>
        </is>
      </c>
      <c r="G680" s="4" t="inlineStr">
        <is>
          <t>Referral</t>
        </is>
      </c>
      <c r="H680" s="4" t="inlineStr">
        <is>
          <t>Physiotherapy session</t>
        </is>
      </c>
      <c r="I680" s="9">
        <f>IF($H680="","",IFERROR(INDEX('Settings'!$J$10:$J$39,MATCH($H680,'Settings'!$I$10:$I$39,0)),""))</f>
        <v/>
      </c>
      <c r="J680" s="6" t="n">
        <v>1</v>
      </c>
      <c r="K680" s="8" t="n">
        <v>300</v>
      </c>
      <c r="L680" s="8" t="n">
        <v>30</v>
      </c>
      <c r="M680" s="14">
        <f>IF($A680="","",$J680*$K680)</f>
        <v/>
      </c>
      <c r="N680" s="14">
        <f>IF($A680="","",$M680-$L680)</f>
        <v/>
      </c>
      <c r="O680" s="4" t="inlineStr">
        <is>
          <t>Card</t>
        </is>
      </c>
      <c r="P680" s="15">
        <f>IF($A680="","",DATE(YEAR($A680),MONTH($A680),1))</f>
        <v/>
      </c>
      <c r="Q680" s="16">
        <f>IF($H680="","",$J680*IFERROR(INDEX('Settings'!$L$10:$L$39,MATCH($H680,'Settings'!$I$10:$I$39,0)),0))</f>
        <v/>
      </c>
      <c r="R680" s="17">
        <f>IF($A680="","",$A680-WEEKDAY($A680,2)+1)</f>
        <v/>
      </c>
    </row>
    <row r="681">
      <c r="A681" s="5" t="n">
        <v>46259</v>
      </c>
      <c r="B681" s="4" t="inlineStr">
        <is>
          <t>North branch</t>
        </is>
      </c>
      <c r="C681" s="4" t="inlineStr">
        <is>
          <t>North 2</t>
        </is>
      </c>
      <c r="D681" s="4" t="inlineStr">
        <is>
          <t>Dr Khaled Youssef</t>
        </is>
      </c>
      <c r="E681" s="4" t="inlineStr">
        <is>
          <t>P-2413</t>
        </is>
      </c>
      <c r="F681" s="4" t="inlineStr">
        <is>
          <t>Returning</t>
        </is>
      </c>
      <c r="G681" s="4" t="inlineStr">
        <is>
          <t>Walk-in</t>
        </is>
      </c>
      <c r="H681" s="4" t="inlineStr">
        <is>
          <t>Laser session, face</t>
        </is>
      </c>
      <c r="I681" s="9">
        <f>IF($H681="","",IFERROR(INDEX('Settings'!$J$10:$J$39,MATCH($H681,'Settings'!$I$10:$I$39,0)),""))</f>
        <v/>
      </c>
      <c r="J681" s="6" t="n">
        <v>1</v>
      </c>
      <c r="K681" s="8" t="n">
        <v>600</v>
      </c>
      <c r="L681" s="8" t="n"/>
      <c r="M681" s="14">
        <f>IF($A681="","",$J681*$K681)</f>
        <v/>
      </c>
      <c r="N681" s="14">
        <f>IF($A681="","",$M681-$L681)</f>
        <v/>
      </c>
      <c r="O681" s="4" t="inlineStr">
        <is>
          <t>Transfer</t>
        </is>
      </c>
      <c r="P681" s="15">
        <f>IF($A681="","",DATE(YEAR($A681),MONTH($A681),1))</f>
        <v/>
      </c>
      <c r="Q681" s="16">
        <f>IF($H681="","",$J681*IFERROR(INDEX('Settings'!$L$10:$L$39,MATCH($H681,'Settings'!$I$10:$I$39,0)),0))</f>
        <v/>
      </c>
      <c r="R681" s="17">
        <f>IF($A681="","",$A681-WEEKDAY($A681,2)+1)</f>
        <v/>
      </c>
    </row>
    <row r="682">
      <c r="A682" s="5" t="n">
        <v>46259</v>
      </c>
      <c r="B682" s="4" t="inlineStr">
        <is>
          <t>North branch</t>
        </is>
      </c>
      <c r="C682" s="4" t="inlineStr">
        <is>
          <t>North 2</t>
        </is>
      </c>
      <c r="D682" s="4" t="inlineStr">
        <is>
          <t>Dr Layla Al Qahtani</t>
        </is>
      </c>
      <c r="E682" s="4" t="inlineStr">
        <is>
          <t>P-2783</t>
        </is>
      </c>
      <c r="F682" s="4" t="inlineStr">
        <is>
          <t>Returning</t>
        </is>
      </c>
      <c r="G682" s="4" t="inlineStr">
        <is>
          <t>WhatsApp</t>
        </is>
      </c>
      <c r="H682" s="4" t="inlineStr">
        <is>
          <t>Laser session, face</t>
        </is>
      </c>
      <c r="I682" s="9">
        <f>IF($H682="","",IFERROR(INDEX('Settings'!$J$10:$J$39,MATCH($H682,'Settings'!$I$10:$I$39,0)),""))</f>
        <v/>
      </c>
      <c r="J682" s="6" t="n">
        <v>1</v>
      </c>
      <c r="K682" s="8" t="n">
        <v>600</v>
      </c>
      <c r="L682" s="8" t="n"/>
      <c r="M682" s="14">
        <f>IF($A682="","",$J682*$K682)</f>
        <v/>
      </c>
      <c r="N682" s="14">
        <f>IF($A682="","",$M682-$L682)</f>
        <v/>
      </c>
      <c r="O682" s="4" t="inlineStr">
        <is>
          <t>Insurance</t>
        </is>
      </c>
      <c r="P682" s="15">
        <f>IF($A682="","",DATE(YEAR($A682),MONTH($A682),1))</f>
        <v/>
      </c>
      <c r="Q682" s="16">
        <f>IF($H682="","",$J682*IFERROR(INDEX('Settings'!$L$10:$L$39,MATCH($H682,'Settings'!$I$10:$I$39,0)),0))</f>
        <v/>
      </c>
      <c r="R682" s="17">
        <f>IF($A682="","",$A682-WEEKDAY($A682,2)+1)</f>
        <v/>
      </c>
    </row>
    <row r="683">
      <c r="A683" s="5" t="n">
        <v>46259</v>
      </c>
      <c r="B683" s="4" t="inlineStr">
        <is>
          <t>North branch</t>
        </is>
      </c>
      <c r="C683" s="4" t="inlineStr">
        <is>
          <t>North 2</t>
        </is>
      </c>
      <c r="D683" s="4" t="inlineStr">
        <is>
          <t>Dr Khaled Youssef</t>
        </is>
      </c>
      <c r="E683" s="4" t="inlineStr">
        <is>
          <t>P-3021</t>
        </is>
      </c>
      <c r="F683" s="4" t="inlineStr">
        <is>
          <t>New</t>
        </is>
      </c>
      <c r="G683" s="4" t="inlineStr">
        <is>
          <t>Referral</t>
        </is>
      </c>
      <c r="H683" s="4" t="inlineStr">
        <is>
          <t>Follow-up visit</t>
        </is>
      </c>
      <c r="I683" s="9">
        <f>IF($H683="","",IFERROR(INDEX('Settings'!$J$10:$J$39,MATCH($H683,'Settings'!$I$10:$I$39,0)),""))</f>
        <v/>
      </c>
      <c r="J683" s="6" t="n">
        <v>1</v>
      </c>
      <c r="K683" s="8" t="n">
        <v>150</v>
      </c>
      <c r="L683" s="8" t="n"/>
      <c r="M683" s="14">
        <f>IF($A683="","",$J683*$K683)</f>
        <v/>
      </c>
      <c r="N683" s="14">
        <f>IF($A683="","",$M683-$L683)</f>
        <v/>
      </c>
      <c r="O683" s="4" t="inlineStr">
        <is>
          <t>Transfer</t>
        </is>
      </c>
      <c r="P683" s="15">
        <f>IF($A683="","",DATE(YEAR($A683),MONTH($A683),1))</f>
        <v/>
      </c>
      <c r="Q683" s="16">
        <f>IF($H683="","",$J683*IFERROR(INDEX('Settings'!$L$10:$L$39,MATCH($H683,'Settings'!$I$10:$I$39,0)),0))</f>
        <v/>
      </c>
      <c r="R683" s="17">
        <f>IF($A683="","",$A683-WEEKDAY($A683,2)+1)</f>
        <v/>
      </c>
    </row>
    <row r="684">
      <c r="A684" s="5" t="n">
        <v>46259</v>
      </c>
      <c r="B684" s="4" t="inlineStr">
        <is>
          <t>North branch</t>
        </is>
      </c>
      <c r="C684" s="4" t="inlineStr">
        <is>
          <t>North 2</t>
        </is>
      </c>
      <c r="D684" s="4" t="inlineStr">
        <is>
          <t>Dr Khaled Youssef</t>
        </is>
      </c>
      <c r="E684" s="4" t="inlineStr">
        <is>
          <t>P-2818</t>
        </is>
      </c>
      <c r="F684" s="4" t="inlineStr">
        <is>
          <t>New</t>
        </is>
      </c>
      <c r="G684" s="4" t="inlineStr">
        <is>
          <t>Instagram</t>
        </is>
      </c>
      <c r="H684" s="4" t="inlineStr">
        <is>
          <t>Specialist consultation</t>
        </is>
      </c>
      <c r="I684" s="9">
        <f>IF($H684="","",IFERROR(INDEX('Settings'!$J$10:$J$39,MATCH($H684,'Settings'!$I$10:$I$39,0)),""))</f>
        <v/>
      </c>
      <c r="J684" s="6" t="n">
        <v>1</v>
      </c>
      <c r="K684" s="8" t="n">
        <v>350</v>
      </c>
      <c r="L684" s="8" t="n"/>
      <c r="M684" s="14">
        <f>IF($A684="","",$J684*$K684)</f>
        <v/>
      </c>
      <c r="N684" s="14">
        <f>IF($A684="","",$M684-$L684)</f>
        <v/>
      </c>
      <c r="O684" s="4" t="inlineStr">
        <is>
          <t>Card</t>
        </is>
      </c>
      <c r="P684" s="15">
        <f>IF($A684="","",DATE(YEAR($A684),MONTH($A684),1))</f>
        <v/>
      </c>
      <c r="Q684" s="16">
        <f>IF($H684="","",$J684*IFERROR(INDEX('Settings'!$L$10:$L$39,MATCH($H684,'Settings'!$I$10:$I$39,0)),0))</f>
        <v/>
      </c>
      <c r="R684" s="17">
        <f>IF($A684="","",$A684-WEEKDAY($A684,2)+1)</f>
        <v/>
      </c>
    </row>
    <row r="685">
      <c r="A685" s="5" t="n">
        <v>46259</v>
      </c>
      <c r="B685" s="4" t="inlineStr">
        <is>
          <t>North branch</t>
        </is>
      </c>
      <c r="C685" s="4" t="inlineStr">
        <is>
          <t>North 2</t>
        </is>
      </c>
      <c r="D685" s="4" t="inlineStr">
        <is>
          <t>Dr Mohamed Adel</t>
        </is>
      </c>
      <c r="E685" s="4" t="inlineStr">
        <is>
          <t>P-2398</t>
        </is>
      </c>
      <c r="F685" s="4" t="inlineStr">
        <is>
          <t>New</t>
        </is>
      </c>
      <c r="G685" s="4" t="inlineStr">
        <is>
          <t>Instagram</t>
        </is>
      </c>
      <c r="H685" s="4" t="inlineStr">
        <is>
          <t>Physiotherapy session</t>
        </is>
      </c>
      <c r="I685" s="9">
        <f>IF($H685="","",IFERROR(INDEX('Settings'!$J$10:$J$39,MATCH($H685,'Settings'!$I$10:$I$39,0)),""))</f>
        <v/>
      </c>
      <c r="J685" s="6" t="n">
        <v>1</v>
      </c>
      <c r="K685" s="8" t="n">
        <v>300</v>
      </c>
      <c r="L685" s="8" t="n">
        <v>60</v>
      </c>
      <c r="M685" s="14">
        <f>IF($A685="","",$J685*$K685)</f>
        <v/>
      </c>
      <c r="N685" s="14">
        <f>IF($A685="","",$M685-$L685)</f>
        <v/>
      </c>
      <c r="O685" s="4" t="inlineStr">
        <is>
          <t>Card</t>
        </is>
      </c>
      <c r="P685" s="15">
        <f>IF($A685="","",DATE(YEAR($A685),MONTH($A685),1))</f>
        <v/>
      </c>
      <c r="Q685" s="16">
        <f>IF($H685="","",$J685*IFERROR(INDEX('Settings'!$L$10:$L$39,MATCH($H685,'Settings'!$I$10:$I$39,0)),0))</f>
        <v/>
      </c>
      <c r="R685" s="17">
        <f>IF($A685="","",$A685-WEEKDAY($A685,2)+1)</f>
        <v/>
      </c>
    </row>
    <row r="686">
      <c r="A686" s="5" t="n">
        <v>46260</v>
      </c>
      <c r="B686" s="4" t="inlineStr">
        <is>
          <t>Main branch</t>
        </is>
      </c>
      <c r="C686" s="4" t="inlineStr">
        <is>
          <t>Main 2</t>
        </is>
      </c>
      <c r="D686" s="4" t="inlineStr">
        <is>
          <t>Dr Noura Al Subaie</t>
        </is>
      </c>
      <c r="E686" s="4" t="inlineStr">
        <is>
          <t>P-3419</t>
        </is>
      </c>
      <c r="F686" s="4" t="inlineStr">
        <is>
          <t>Returning</t>
        </is>
      </c>
      <c r="G686" s="4" t="inlineStr">
        <is>
          <t>Referral</t>
        </is>
      </c>
      <c r="H686" s="4" t="inlineStr">
        <is>
          <t>Follow-up visit</t>
        </is>
      </c>
      <c r="I686" s="9">
        <f>IF($H686="","",IFERROR(INDEX('Settings'!$J$10:$J$39,MATCH($H686,'Settings'!$I$10:$I$39,0)),""))</f>
        <v/>
      </c>
      <c r="J686" s="6" t="n">
        <v>1</v>
      </c>
      <c r="K686" s="8" t="n">
        <v>150</v>
      </c>
      <c r="L686" s="8" t="n"/>
      <c r="M686" s="14">
        <f>IF($A686="","",$J686*$K686)</f>
        <v/>
      </c>
      <c r="N686" s="14">
        <f>IF($A686="","",$M686-$L686)</f>
        <v/>
      </c>
      <c r="O686" s="4" t="inlineStr">
        <is>
          <t>Card</t>
        </is>
      </c>
      <c r="P686" s="15">
        <f>IF($A686="","",DATE(YEAR($A686),MONTH($A686),1))</f>
        <v/>
      </c>
      <c r="Q686" s="16">
        <f>IF($H686="","",$J686*IFERROR(INDEX('Settings'!$L$10:$L$39,MATCH($H686,'Settings'!$I$10:$I$39,0)),0))</f>
        <v/>
      </c>
      <c r="R686" s="17">
        <f>IF($A686="","",$A686-WEEKDAY($A686,2)+1)</f>
        <v/>
      </c>
    </row>
    <row r="687">
      <c r="A687" s="5" t="n">
        <v>46260</v>
      </c>
      <c r="B687" s="4" t="inlineStr">
        <is>
          <t>Main branch</t>
        </is>
      </c>
      <c r="C687" s="4" t="inlineStr">
        <is>
          <t>Main 3</t>
        </is>
      </c>
      <c r="D687" s="4" t="inlineStr">
        <is>
          <t>Dr Sara Al Harbi</t>
        </is>
      </c>
      <c r="E687" s="4" t="inlineStr">
        <is>
          <t>P-2826</t>
        </is>
      </c>
      <c r="F687" s="4" t="inlineStr">
        <is>
          <t>Returning</t>
        </is>
      </c>
      <c r="G687" s="4" t="inlineStr">
        <is>
          <t>Google</t>
        </is>
      </c>
      <c r="H687" s="4" t="inlineStr">
        <is>
          <t>Vitamin C serum</t>
        </is>
      </c>
      <c r="I687" s="9">
        <f>IF($H687="","",IFERROR(INDEX('Settings'!$J$10:$J$39,MATCH($H687,'Settings'!$I$10:$I$39,0)),""))</f>
        <v/>
      </c>
      <c r="J687" s="6" t="n">
        <v>1</v>
      </c>
      <c r="K687" s="8" t="n">
        <v>220</v>
      </c>
      <c r="L687" s="8" t="n"/>
      <c r="M687" s="14">
        <f>IF($A687="","",$J687*$K687)</f>
        <v/>
      </c>
      <c r="N687" s="14">
        <f>IF($A687="","",$M687-$L687)</f>
        <v/>
      </c>
      <c r="O687" s="4" t="inlineStr">
        <is>
          <t>Card</t>
        </is>
      </c>
      <c r="P687" s="15">
        <f>IF($A687="","",DATE(YEAR($A687),MONTH($A687),1))</f>
        <v/>
      </c>
      <c r="Q687" s="16">
        <f>IF($H687="","",$J687*IFERROR(INDEX('Settings'!$L$10:$L$39,MATCH($H687,'Settings'!$I$10:$I$39,0)),0))</f>
        <v/>
      </c>
      <c r="R687" s="17">
        <f>IF($A687="","",$A687-WEEKDAY($A687,2)+1)</f>
        <v/>
      </c>
    </row>
    <row r="688">
      <c r="A688" s="5" t="n">
        <v>46260</v>
      </c>
      <c r="B688" s="4" t="inlineStr">
        <is>
          <t>Main branch</t>
        </is>
      </c>
      <c r="C688" s="4" t="inlineStr">
        <is>
          <t>Main 4</t>
        </is>
      </c>
      <c r="D688" s="4" t="inlineStr">
        <is>
          <t>Dr Noura Al Subaie</t>
        </is>
      </c>
      <c r="E688" s="4" t="inlineStr">
        <is>
          <t>P-2621</t>
        </is>
      </c>
      <c r="F688" s="4" t="inlineStr">
        <is>
          <t>Returning</t>
        </is>
      </c>
      <c r="G688" s="4" t="inlineStr">
        <is>
          <t>Walk-in</t>
        </is>
      </c>
      <c r="H688" s="4" t="inlineStr">
        <is>
          <t>Specialist consultation</t>
        </is>
      </c>
      <c r="I688" s="9">
        <f>IF($H688="","",IFERROR(INDEX('Settings'!$J$10:$J$39,MATCH($H688,'Settings'!$I$10:$I$39,0)),""))</f>
        <v/>
      </c>
      <c r="J688" s="6" t="n">
        <v>1</v>
      </c>
      <c r="K688" s="8" t="n">
        <v>350</v>
      </c>
      <c r="L688" s="8" t="n"/>
      <c r="M688" s="14">
        <f>IF($A688="","",$J688*$K688)</f>
        <v/>
      </c>
      <c r="N688" s="14">
        <f>IF($A688="","",$M688-$L688)</f>
        <v/>
      </c>
      <c r="O688" s="4" t="inlineStr">
        <is>
          <t>Cash</t>
        </is>
      </c>
      <c r="P688" s="15">
        <f>IF($A688="","",DATE(YEAR($A688),MONTH($A688),1))</f>
        <v/>
      </c>
      <c r="Q688" s="16">
        <f>IF($H688="","",$J688*IFERROR(INDEX('Settings'!$L$10:$L$39,MATCH($H688,'Settings'!$I$10:$I$39,0)),0))</f>
        <v/>
      </c>
      <c r="R688" s="17">
        <f>IF($A688="","",$A688-WEEKDAY($A688,2)+1)</f>
        <v/>
      </c>
    </row>
    <row r="689">
      <c r="A689" s="5" t="n">
        <v>46260</v>
      </c>
      <c r="B689" s="4" t="inlineStr">
        <is>
          <t>Main branch</t>
        </is>
      </c>
      <c r="C689" s="4" t="inlineStr">
        <is>
          <t>Main 4</t>
        </is>
      </c>
      <c r="D689" s="4" t="inlineStr">
        <is>
          <t>Dr Sara Al Harbi</t>
        </is>
      </c>
      <c r="E689" s="4" t="inlineStr">
        <is>
          <t>P-3271</t>
        </is>
      </c>
      <c r="F689" s="4" t="inlineStr">
        <is>
          <t>Returning</t>
        </is>
      </c>
      <c r="G689" s="4" t="inlineStr">
        <is>
          <t>Referral</t>
        </is>
      </c>
      <c r="H689" s="4" t="inlineStr">
        <is>
          <t>Filler injection</t>
        </is>
      </c>
      <c r="I689" s="9">
        <f>IF($H689="","",IFERROR(INDEX('Settings'!$J$10:$J$39,MATCH($H689,'Settings'!$I$10:$I$39,0)),""))</f>
        <v/>
      </c>
      <c r="J689" s="6" t="n">
        <v>1</v>
      </c>
      <c r="K689" s="8" t="n">
        <v>1800</v>
      </c>
      <c r="L689" s="8" t="n"/>
      <c r="M689" s="14">
        <f>IF($A689="","",$J689*$K689)</f>
        <v/>
      </c>
      <c r="N689" s="14">
        <f>IF($A689="","",$M689-$L689)</f>
        <v/>
      </c>
      <c r="O689" s="4" t="inlineStr">
        <is>
          <t>Card</t>
        </is>
      </c>
      <c r="P689" s="15">
        <f>IF($A689="","",DATE(YEAR($A689),MONTH($A689),1))</f>
        <v/>
      </c>
      <c r="Q689" s="16">
        <f>IF($H689="","",$J689*IFERROR(INDEX('Settings'!$L$10:$L$39,MATCH($H689,'Settings'!$I$10:$I$39,0)),0))</f>
        <v/>
      </c>
      <c r="R689" s="17">
        <f>IF($A689="","",$A689-WEEKDAY($A689,2)+1)</f>
        <v/>
      </c>
    </row>
    <row r="690">
      <c r="A690" s="5" t="n">
        <v>46260</v>
      </c>
      <c r="B690" s="4" t="inlineStr">
        <is>
          <t>North branch</t>
        </is>
      </c>
      <c r="C690" s="4" t="inlineStr">
        <is>
          <t>North 1</t>
        </is>
      </c>
      <c r="D690" s="4" t="inlineStr">
        <is>
          <t>Dr Mohamed Adel</t>
        </is>
      </c>
      <c r="E690" s="4" t="inlineStr">
        <is>
          <t>P-2304</t>
        </is>
      </c>
      <c r="F690" s="4" t="inlineStr">
        <is>
          <t>Returning</t>
        </is>
      </c>
      <c r="G690" s="4" t="inlineStr">
        <is>
          <t>Instagram</t>
        </is>
      </c>
      <c r="H690" s="4" t="inlineStr">
        <is>
          <t>Laser session, face</t>
        </is>
      </c>
      <c r="I690" s="9">
        <f>IF($H690="","",IFERROR(INDEX('Settings'!$J$10:$J$39,MATCH($H690,'Settings'!$I$10:$I$39,0)),""))</f>
        <v/>
      </c>
      <c r="J690" s="6" t="n">
        <v>1</v>
      </c>
      <c r="K690" s="8" t="n">
        <v>600</v>
      </c>
      <c r="L690" s="8" t="n">
        <v>90</v>
      </c>
      <c r="M690" s="14">
        <f>IF($A690="","",$J690*$K690)</f>
        <v/>
      </c>
      <c r="N690" s="14">
        <f>IF($A690="","",$M690-$L690)</f>
        <v/>
      </c>
      <c r="O690" s="4" t="inlineStr">
        <is>
          <t>Card</t>
        </is>
      </c>
      <c r="P690" s="15">
        <f>IF($A690="","",DATE(YEAR($A690),MONTH($A690),1))</f>
        <v/>
      </c>
      <c r="Q690" s="16">
        <f>IF($H690="","",$J690*IFERROR(INDEX('Settings'!$L$10:$L$39,MATCH($H690,'Settings'!$I$10:$I$39,0)),0))</f>
        <v/>
      </c>
      <c r="R690" s="17">
        <f>IF($A690="","",$A690-WEEKDAY($A690,2)+1)</f>
        <v/>
      </c>
    </row>
    <row r="691">
      <c r="A691" s="5" t="n">
        <v>46260</v>
      </c>
      <c r="B691" s="4" t="inlineStr">
        <is>
          <t>North branch</t>
        </is>
      </c>
      <c r="C691" s="4" t="inlineStr">
        <is>
          <t>North 1</t>
        </is>
      </c>
      <c r="D691" s="4" t="inlineStr">
        <is>
          <t>Dr Layla Al Qahtani</t>
        </is>
      </c>
      <c r="E691" s="4" t="inlineStr">
        <is>
          <t>P-2200</t>
        </is>
      </c>
      <c r="F691" s="4" t="inlineStr">
        <is>
          <t>New</t>
        </is>
      </c>
      <c r="G691" s="4" t="inlineStr">
        <is>
          <t>Google</t>
        </is>
      </c>
      <c r="H691" s="4" t="inlineStr">
        <is>
          <t>Facial cleansing</t>
        </is>
      </c>
      <c r="I691" s="9">
        <f>IF($H691="","",IFERROR(INDEX('Settings'!$J$10:$J$39,MATCH($H691,'Settings'!$I$10:$I$39,0)),""))</f>
        <v/>
      </c>
      <c r="J691" s="6" t="n">
        <v>1</v>
      </c>
      <c r="K691" s="8" t="n">
        <v>400</v>
      </c>
      <c r="L691" s="8" t="n"/>
      <c r="M691" s="14">
        <f>IF($A691="","",$J691*$K691)</f>
        <v/>
      </c>
      <c r="N691" s="14">
        <f>IF($A691="","",$M691-$L691)</f>
        <v/>
      </c>
      <c r="O691" s="4" t="inlineStr">
        <is>
          <t>Insurance</t>
        </is>
      </c>
      <c r="P691" s="15">
        <f>IF($A691="","",DATE(YEAR($A691),MONTH($A691),1))</f>
        <v/>
      </c>
      <c r="Q691" s="16">
        <f>IF($H691="","",$J691*IFERROR(INDEX('Settings'!$L$10:$L$39,MATCH($H691,'Settings'!$I$10:$I$39,0)),0))</f>
        <v/>
      </c>
      <c r="R691" s="17">
        <f>IF($A691="","",$A691-WEEKDAY($A691,2)+1)</f>
        <v/>
      </c>
    </row>
    <row r="692">
      <c r="A692" s="5" t="n">
        <v>46260</v>
      </c>
      <c r="B692" s="4" t="inlineStr">
        <is>
          <t>North branch</t>
        </is>
      </c>
      <c r="C692" s="4" t="inlineStr">
        <is>
          <t>North 1</t>
        </is>
      </c>
      <c r="D692" s="4" t="inlineStr">
        <is>
          <t>Dr Layla Al Qahtani</t>
        </is>
      </c>
      <c r="E692" s="4" t="inlineStr">
        <is>
          <t>P-2436</t>
        </is>
      </c>
      <c r="F692" s="4" t="inlineStr">
        <is>
          <t>New</t>
        </is>
      </c>
      <c r="G692" s="4" t="inlineStr">
        <is>
          <t>Referral</t>
        </is>
      </c>
      <c r="H692" s="4" t="inlineStr">
        <is>
          <t>Facial cleansing</t>
        </is>
      </c>
      <c r="I692" s="9">
        <f>IF($H692="","",IFERROR(INDEX('Settings'!$J$10:$J$39,MATCH($H692,'Settings'!$I$10:$I$39,0)),""))</f>
        <v/>
      </c>
      <c r="J692" s="6" t="n">
        <v>1</v>
      </c>
      <c r="K692" s="8" t="n">
        <v>400</v>
      </c>
      <c r="L692" s="8" t="n"/>
      <c r="M692" s="14">
        <f>IF($A692="","",$J692*$K692)</f>
        <v/>
      </c>
      <c r="N692" s="14">
        <f>IF($A692="","",$M692-$L692)</f>
        <v/>
      </c>
      <c r="O692" s="4" t="inlineStr">
        <is>
          <t>Card</t>
        </is>
      </c>
      <c r="P692" s="15">
        <f>IF($A692="","",DATE(YEAR($A692),MONTH($A692),1))</f>
        <v/>
      </c>
      <c r="Q692" s="16">
        <f>IF($H692="","",$J692*IFERROR(INDEX('Settings'!$L$10:$L$39,MATCH($H692,'Settings'!$I$10:$I$39,0)),0))</f>
        <v/>
      </c>
      <c r="R692" s="17">
        <f>IF($A692="","",$A692-WEEKDAY($A692,2)+1)</f>
        <v/>
      </c>
    </row>
    <row r="693">
      <c r="A693" s="5" t="n">
        <v>46260</v>
      </c>
      <c r="B693" s="4" t="inlineStr">
        <is>
          <t>North branch</t>
        </is>
      </c>
      <c r="C693" s="4" t="inlineStr">
        <is>
          <t>North 1</t>
        </is>
      </c>
      <c r="D693" s="4" t="inlineStr">
        <is>
          <t>Dr Mohamed Adel</t>
        </is>
      </c>
      <c r="E693" s="4" t="inlineStr">
        <is>
          <t>P-2683</t>
        </is>
      </c>
      <c r="F693" s="4" t="inlineStr">
        <is>
          <t>Returning</t>
        </is>
      </c>
      <c r="G693" s="4" t="inlineStr">
        <is>
          <t>Instagram</t>
        </is>
      </c>
      <c r="H693" s="4" t="inlineStr">
        <is>
          <t>Follow-up visit</t>
        </is>
      </c>
      <c r="I693" s="9">
        <f>IF($H693="","",IFERROR(INDEX('Settings'!$J$10:$J$39,MATCH($H693,'Settings'!$I$10:$I$39,0)),""))</f>
        <v/>
      </c>
      <c r="J693" s="6" t="n">
        <v>1</v>
      </c>
      <c r="K693" s="8" t="n">
        <v>150</v>
      </c>
      <c r="L693" s="8" t="n"/>
      <c r="M693" s="14">
        <f>IF($A693="","",$J693*$K693)</f>
        <v/>
      </c>
      <c r="N693" s="14">
        <f>IF($A693="","",$M693-$L693)</f>
        <v/>
      </c>
      <c r="O693" s="4" t="inlineStr">
        <is>
          <t>Cash</t>
        </is>
      </c>
      <c r="P693" s="15">
        <f>IF($A693="","",DATE(YEAR($A693),MONTH($A693),1))</f>
        <v/>
      </c>
      <c r="Q693" s="16">
        <f>IF($H693="","",$J693*IFERROR(INDEX('Settings'!$L$10:$L$39,MATCH($H693,'Settings'!$I$10:$I$39,0)),0))</f>
        <v/>
      </c>
      <c r="R693" s="17">
        <f>IF($A693="","",$A693-WEEKDAY($A693,2)+1)</f>
        <v/>
      </c>
    </row>
    <row r="694">
      <c r="A694" s="5" t="n">
        <v>46260</v>
      </c>
      <c r="B694" s="4" t="inlineStr">
        <is>
          <t>North branch</t>
        </is>
      </c>
      <c r="C694" s="4" t="inlineStr">
        <is>
          <t>North 1</t>
        </is>
      </c>
      <c r="D694" s="4" t="inlineStr">
        <is>
          <t>Dr Layla Al Qahtani</t>
        </is>
      </c>
      <c r="E694" s="4" t="inlineStr">
        <is>
          <t>P-2974</t>
        </is>
      </c>
      <c r="F694" s="4" t="inlineStr">
        <is>
          <t>Returning</t>
        </is>
      </c>
      <c r="G694" s="4" t="inlineStr">
        <is>
          <t>WhatsApp</t>
        </is>
      </c>
      <c r="H694" s="4" t="inlineStr">
        <is>
          <t>Follow-up visit</t>
        </is>
      </c>
      <c r="I694" s="9">
        <f>IF($H694="","",IFERROR(INDEX('Settings'!$J$10:$J$39,MATCH($H694,'Settings'!$I$10:$I$39,0)),""))</f>
        <v/>
      </c>
      <c r="J694" s="6" t="n">
        <v>1</v>
      </c>
      <c r="K694" s="8" t="n">
        <v>150</v>
      </c>
      <c r="L694" s="8" t="n"/>
      <c r="M694" s="14">
        <f>IF($A694="","",$J694*$K694)</f>
        <v/>
      </c>
      <c r="N694" s="14">
        <f>IF($A694="","",$M694-$L694)</f>
        <v/>
      </c>
      <c r="O694" s="4" t="inlineStr">
        <is>
          <t>Cash</t>
        </is>
      </c>
      <c r="P694" s="15">
        <f>IF($A694="","",DATE(YEAR($A694),MONTH($A694),1))</f>
        <v/>
      </c>
      <c r="Q694" s="16">
        <f>IF($H694="","",$J694*IFERROR(INDEX('Settings'!$L$10:$L$39,MATCH($H694,'Settings'!$I$10:$I$39,0)),0))</f>
        <v/>
      </c>
      <c r="R694" s="17">
        <f>IF($A694="","",$A694-WEEKDAY($A694,2)+1)</f>
        <v/>
      </c>
    </row>
    <row r="695">
      <c r="A695" s="5" t="n">
        <v>46260</v>
      </c>
      <c r="B695" s="4" t="inlineStr">
        <is>
          <t>North branch</t>
        </is>
      </c>
      <c r="C695" s="4" t="inlineStr">
        <is>
          <t>North 1</t>
        </is>
      </c>
      <c r="D695" s="4" t="inlineStr">
        <is>
          <t>Dr Mohamed Adel</t>
        </is>
      </c>
      <c r="E695" s="4" t="inlineStr">
        <is>
          <t>P-2853</t>
        </is>
      </c>
      <c r="F695" s="4" t="inlineStr">
        <is>
          <t>New</t>
        </is>
      </c>
      <c r="G695" s="4" t="inlineStr">
        <is>
          <t>WhatsApp</t>
        </is>
      </c>
      <c r="H695" s="4" t="inlineStr">
        <is>
          <t>Specialist consultation</t>
        </is>
      </c>
      <c r="I695" s="9">
        <f>IF($H695="","",IFERROR(INDEX('Settings'!$J$10:$J$39,MATCH($H695,'Settings'!$I$10:$I$39,0)),""))</f>
        <v/>
      </c>
      <c r="J695" s="6" t="n">
        <v>1</v>
      </c>
      <c r="K695" s="8" t="n">
        <v>350</v>
      </c>
      <c r="L695" s="8" t="n"/>
      <c r="M695" s="14">
        <f>IF($A695="","",$J695*$K695)</f>
        <v/>
      </c>
      <c r="N695" s="14">
        <f>IF($A695="","",$M695-$L695)</f>
        <v/>
      </c>
      <c r="O695" s="4" t="inlineStr">
        <is>
          <t>Cash</t>
        </is>
      </c>
      <c r="P695" s="15">
        <f>IF($A695="","",DATE(YEAR($A695),MONTH($A695),1))</f>
        <v/>
      </c>
      <c r="Q695" s="16">
        <f>IF($H695="","",$J695*IFERROR(INDEX('Settings'!$L$10:$L$39,MATCH($H695,'Settings'!$I$10:$I$39,0)),0))</f>
        <v/>
      </c>
      <c r="R695" s="17">
        <f>IF($A695="","",$A695-WEEKDAY($A695,2)+1)</f>
        <v/>
      </c>
    </row>
    <row r="696">
      <c r="A696" s="5" t="n">
        <v>46260</v>
      </c>
      <c r="B696" s="4" t="inlineStr">
        <is>
          <t>North branch</t>
        </is>
      </c>
      <c r="C696" s="4" t="inlineStr">
        <is>
          <t>North 2</t>
        </is>
      </c>
      <c r="D696" s="4" t="inlineStr">
        <is>
          <t>Dr Mohamed Adel</t>
        </is>
      </c>
      <c r="E696" s="4" t="inlineStr">
        <is>
          <t>P-2896</t>
        </is>
      </c>
      <c r="F696" s="4" t="inlineStr">
        <is>
          <t>Returning</t>
        </is>
      </c>
      <c r="G696" s="4" t="inlineStr">
        <is>
          <t>Walk-in</t>
        </is>
      </c>
      <c r="H696" s="4" t="inlineStr">
        <is>
          <t>Chemical peel</t>
        </is>
      </c>
      <c r="I696" s="9">
        <f>IF($H696="","",IFERROR(INDEX('Settings'!$J$10:$J$39,MATCH($H696,'Settings'!$I$10:$I$39,0)),""))</f>
        <v/>
      </c>
      <c r="J696" s="6" t="n">
        <v>1</v>
      </c>
      <c r="K696" s="8" t="n">
        <v>800</v>
      </c>
      <c r="L696" s="8" t="n">
        <v>40</v>
      </c>
      <c r="M696" s="14">
        <f>IF($A696="","",$J696*$K696)</f>
        <v/>
      </c>
      <c r="N696" s="14">
        <f>IF($A696="","",$M696-$L696)</f>
        <v/>
      </c>
      <c r="O696" s="4" t="inlineStr">
        <is>
          <t>Cash</t>
        </is>
      </c>
      <c r="P696" s="15">
        <f>IF($A696="","",DATE(YEAR($A696),MONTH($A696),1))</f>
        <v/>
      </c>
      <c r="Q696" s="16">
        <f>IF($H696="","",$J696*IFERROR(INDEX('Settings'!$L$10:$L$39,MATCH($H696,'Settings'!$I$10:$I$39,0)),0))</f>
        <v/>
      </c>
      <c r="R696" s="17">
        <f>IF($A696="","",$A696-WEEKDAY($A696,2)+1)</f>
        <v/>
      </c>
    </row>
    <row r="697">
      <c r="A697" s="5" t="n">
        <v>46260</v>
      </c>
      <c r="B697" s="4" t="inlineStr">
        <is>
          <t>North branch</t>
        </is>
      </c>
      <c r="C697" s="4" t="inlineStr">
        <is>
          <t>North 2</t>
        </is>
      </c>
      <c r="D697" s="4" t="inlineStr">
        <is>
          <t>Dr Khaled Youssef</t>
        </is>
      </c>
      <c r="E697" s="4" t="inlineStr">
        <is>
          <t>P-2555</t>
        </is>
      </c>
      <c r="F697" s="4" t="inlineStr">
        <is>
          <t>Returning</t>
        </is>
      </c>
      <c r="G697" s="4" t="inlineStr">
        <is>
          <t>Instagram</t>
        </is>
      </c>
      <c r="H697" s="4" t="inlineStr">
        <is>
          <t>Facial cleansing</t>
        </is>
      </c>
      <c r="I697" s="9">
        <f>IF($H697="","",IFERROR(INDEX('Settings'!$J$10:$J$39,MATCH($H697,'Settings'!$I$10:$I$39,0)),""))</f>
        <v/>
      </c>
      <c r="J697" s="6" t="n">
        <v>1</v>
      </c>
      <c r="K697" s="8" t="n">
        <v>400</v>
      </c>
      <c r="L697" s="8" t="n"/>
      <c r="M697" s="14">
        <f>IF($A697="","",$J697*$K697)</f>
        <v/>
      </c>
      <c r="N697" s="14">
        <f>IF($A697="","",$M697-$L697)</f>
        <v/>
      </c>
      <c r="O697" s="4" t="inlineStr">
        <is>
          <t>Insurance</t>
        </is>
      </c>
      <c r="P697" s="15">
        <f>IF($A697="","",DATE(YEAR($A697),MONTH($A697),1))</f>
        <v/>
      </c>
      <c r="Q697" s="16">
        <f>IF($H697="","",$J697*IFERROR(INDEX('Settings'!$L$10:$L$39,MATCH($H697,'Settings'!$I$10:$I$39,0)),0))</f>
        <v/>
      </c>
      <c r="R697" s="17">
        <f>IF($A697="","",$A697-WEEKDAY($A697,2)+1)</f>
        <v/>
      </c>
    </row>
    <row r="698">
      <c r="A698" s="5" t="n">
        <v>46260</v>
      </c>
      <c r="B698" s="4" t="inlineStr">
        <is>
          <t>North branch</t>
        </is>
      </c>
      <c r="C698" s="4" t="inlineStr">
        <is>
          <t>North 2</t>
        </is>
      </c>
      <c r="D698" s="4" t="inlineStr">
        <is>
          <t>Dr Layla Al Qahtani</t>
        </is>
      </c>
      <c r="E698" s="4" t="inlineStr">
        <is>
          <t>P-2121</t>
        </is>
      </c>
      <c r="F698" s="4" t="inlineStr">
        <is>
          <t>Returning</t>
        </is>
      </c>
      <c r="G698" s="4" t="inlineStr">
        <is>
          <t>WhatsApp</t>
        </is>
      </c>
      <c r="H698" s="4" t="inlineStr">
        <is>
          <t>Laser session, face</t>
        </is>
      </c>
      <c r="I698" s="9">
        <f>IF($H698="","",IFERROR(INDEX('Settings'!$J$10:$J$39,MATCH($H698,'Settings'!$I$10:$I$39,0)),""))</f>
        <v/>
      </c>
      <c r="J698" s="6" t="n">
        <v>1</v>
      </c>
      <c r="K698" s="8" t="n">
        <v>600</v>
      </c>
      <c r="L698" s="8" t="n"/>
      <c r="M698" s="14">
        <f>IF($A698="","",$J698*$K698)</f>
        <v/>
      </c>
      <c r="N698" s="14">
        <f>IF($A698="","",$M698-$L698)</f>
        <v/>
      </c>
      <c r="O698" s="4" t="inlineStr">
        <is>
          <t>Card</t>
        </is>
      </c>
      <c r="P698" s="15">
        <f>IF($A698="","",DATE(YEAR($A698),MONTH($A698),1))</f>
        <v/>
      </c>
      <c r="Q698" s="16">
        <f>IF($H698="","",$J698*IFERROR(INDEX('Settings'!$L$10:$L$39,MATCH($H698,'Settings'!$I$10:$I$39,0)),0))</f>
        <v/>
      </c>
      <c r="R698" s="17">
        <f>IF($A698="","",$A698-WEEKDAY($A698,2)+1)</f>
        <v/>
      </c>
    </row>
    <row r="699">
      <c r="A699" s="5" t="n">
        <v>46260</v>
      </c>
      <c r="B699" s="4" t="inlineStr">
        <is>
          <t>North branch</t>
        </is>
      </c>
      <c r="C699" s="4" t="inlineStr">
        <is>
          <t>North 2</t>
        </is>
      </c>
      <c r="D699" s="4" t="inlineStr">
        <is>
          <t>Dr Mohamed Adel</t>
        </is>
      </c>
      <c r="E699" s="4" t="inlineStr">
        <is>
          <t>P-2759</t>
        </is>
      </c>
      <c r="F699" s="4" t="inlineStr">
        <is>
          <t>New</t>
        </is>
      </c>
      <c r="G699" s="4" t="inlineStr">
        <is>
          <t>Instagram</t>
        </is>
      </c>
      <c r="H699" s="4" t="inlineStr">
        <is>
          <t>Specialist consultation</t>
        </is>
      </c>
      <c r="I699" s="9">
        <f>IF($H699="","",IFERROR(INDEX('Settings'!$J$10:$J$39,MATCH($H699,'Settings'!$I$10:$I$39,0)),""))</f>
        <v/>
      </c>
      <c r="J699" s="6" t="n">
        <v>1</v>
      </c>
      <c r="K699" s="8" t="n">
        <v>350</v>
      </c>
      <c r="L699" s="8" t="n"/>
      <c r="M699" s="14">
        <f>IF($A699="","",$J699*$K699)</f>
        <v/>
      </c>
      <c r="N699" s="14">
        <f>IF($A699="","",$M699-$L699)</f>
        <v/>
      </c>
      <c r="O699" s="4" t="inlineStr">
        <is>
          <t>Insurance</t>
        </is>
      </c>
      <c r="P699" s="15">
        <f>IF($A699="","",DATE(YEAR($A699),MONTH($A699),1))</f>
        <v/>
      </c>
      <c r="Q699" s="16">
        <f>IF($H699="","",$J699*IFERROR(INDEX('Settings'!$L$10:$L$39,MATCH($H699,'Settings'!$I$10:$I$39,0)),0))</f>
        <v/>
      </c>
      <c r="R699" s="17">
        <f>IF($A699="","",$A699-WEEKDAY($A699,2)+1)</f>
        <v/>
      </c>
    </row>
    <row r="700">
      <c r="A700" s="5" t="n">
        <v>46260</v>
      </c>
      <c r="B700" s="4" t="inlineStr">
        <is>
          <t>North branch</t>
        </is>
      </c>
      <c r="C700" s="4" t="inlineStr">
        <is>
          <t>North 2</t>
        </is>
      </c>
      <c r="D700" s="4" t="inlineStr">
        <is>
          <t>Dr Khaled Youssef</t>
        </is>
      </c>
      <c r="E700" s="4" t="inlineStr">
        <is>
          <t>P-2363</t>
        </is>
      </c>
      <c r="F700" s="4" t="inlineStr">
        <is>
          <t>Returning</t>
        </is>
      </c>
      <c r="G700" s="4" t="inlineStr">
        <is>
          <t>WhatsApp</t>
        </is>
      </c>
      <c r="H700" s="4" t="inlineStr">
        <is>
          <t>Laser session, face</t>
        </is>
      </c>
      <c r="I700" s="9">
        <f>IF($H700="","",IFERROR(INDEX('Settings'!$J$10:$J$39,MATCH($H700,'Settings'!$I$10:$I$39,0)),""))</f>
        <v/>
      </c>
      <c r="J700" s="6" t="n">
        <v>1</v>
      </c>
      <c r="K700" s="8" t="n">
        <v>600</v>
      </c>
      <c r="L700" s="8" t="n"/>
      <c r="M700" s="14">
        <f>IF($A700="","",$J700*$K700)</f>
        <v/>
      </c>
      <c r="N700" s="14">
        <f>IF($A700="","",$M700-$L700)</f>
        <v/>
      </c>
      <c r="O700" s="4" t="inlineStr">
        <is>
          <t>Card</t>
        </is>
      </c>
      <c r="P700" s="15">
        <f>IF($A700="","",DATE(YEAR($A700),MONTH($A700),1))</f>
        <v/>
      </c>
      <c r="Q700" s="16">
        <f>IF($H700="","",$J700*IFERROR(INDEX('Settings'!$L$10:$L$39,MATCH($H700,'Settings'!$I$10:$I$39,0)),0))</f>
        <v/>
      </c>
      <c r="R700" s="17">
        <f>IF($A700="","",$A700-WEEKDAY($A700,2)+1)</f>
        <v/>
      </c>
    </row>
    <row r="701">
      <c r="A701" s="5" t="n">
        <v>46260</v>
      </c>
      <c r="B701" s="4" t="inlineStr">
        <is>
          <t>North branch</t>
        </is>
      </c>
      <c r="C701" s="4" t="inlineStr">
        <is>
          <t>North 2</t>
        </is>
      </c>
      <c r="D701" s="4" t="inlineStr">
        <is>
          <t>Dr Khaled Youssef</t>
        </is>
      </c>
      <c r="E701" s="4" t="inlineStr">
        <is>
          <t>P-3068</t>
        </is>
      </c>
      <c r="F701" s="4" t="inlineStr">
        <is>
          <t>New</t>
        </is>
      </c>
      <c r="G701" s="4" t="inlineStr">
        <is>
          <t>Instagram</t>
        </is>
      </c>
      <c r="H701" s="4" t="inlineStr">
        <is>
          <t>Physiotherapy session</t>
        </is>
      </c>
      <c r="I701" s="9">
        <f>IF($H701="","",IFERROR(INDEX('Settings'!$J$10:$J$39,MATCH($H701,'Settings'!$I$10:$I$39,0)),""))</f>
        <v/>
      </c>
      <c r="J701" s="6" t="n">
        <v>1</v>
      </c>
      <c r="K701" s="8" t="n">
        <v>300</v>
      </c>
      <c r="L701" s="8" t="n"/>
      <c r="M701" s="14">
        <f>IF($A701="","",$J701*$K701)</f>
        <v/>
      </c>
      <c r="N701" s="14">
        <f>IF($A701="","",$M701-$L701)</f>
        <v/>
      </c>
      <c r="O701" s="4" t="inlineStr">
        <is>
          <t>Cash</t>
        </is>
      </c>
      <c r="P701" s="15">
        <f>IF($A701="","",DATE(YEAR($A701),MONTH($A701),1))</f>
        <v/>
      </c>
      <c r="Q701" s="16">
        <f>IF($H701="","",$J701*IFERROR(INDEX('Settings'!$L$10:$L$39,MATCH($H701,'Settings'!$I$10:$I$39,0)),0))</f>
        <v/>
      </c>
      <c r="R701" s="17">
        <f>IF($A701="","",$A701-WEEKDAY($A701,2)+1)</f>
        <v/>
      </c>
    </row>
    <row r="702">
      <c r="A702" s="5" t="n">
        <v>46260</v>
      </c>
      <c r="B702" s="4" t="inlineStr">
        <is>
          <t>North branch</t>
        </is>
      </c>
      <c r="C702" s="4" t="inlineStr">
        <is>
          <t>North 2</t>
        </is>
      </c>
      <c r="D702" s="4" t="inlineStr">
        <is>
          <t>Dr Mohamed Adel</t>
        </is>
      </c>
      <c r="E702" s="4" t="inlineStr">
        <is>
          <t>P-3407</t>
        </is>
      </c>
      <c r="F702" s="4" t="inlineStr">
        <is>
          <t>Returning</t>
        </is>
      </c>
      <c r="G702" s="4" t="inlineStr">
        <is>
          <t>Instagram</t>
        </is>
      </c>
      <c r="H702" s="4" t="inlineStr">
        <is>
          <t>Chemical peel</t>
        </is>
      </c>
      <c r="I702" s="9">
        <f>IF($H702="","",IFERROR(INDEX('Settings'!$J$10:$J$39,MATCH($H702,'Settings'!$I$10:$I$39,0)),""))</f>
        <v/>
      </c>
      <c r="J702" s="6" t="n">
        <v>1</v>
      </c>
      <c r="K702" s="8" t="n">
        <v>800</v>
      </c>
      <c r="L702" s="8" t="n"/>
      <c r="M702" s="14">
        <f>IF($A702="","",$J702*$K702)</f>
        <v/>
      </c>
      <c r="N702" s="14">
        <f>IF($A702="","",$M702-$L702)</f>
        <v/>
      </c>
      <c r="O702" s="4" t="inlineStr">
        <is>
          <t>Insurance</t>
        </is>
      </c>
      <c r="P702" s="15">
        <f>IF($A702="","",DATE(YEAR($A702),MONTH($A702),1))</f>
        <v/>
      </c>
      <c r="Q702" s="16">
        <f>IF($H702="","",$J702*IFERROR(INDEX('Settings'!$L$10:$L$39,MATCH($H702,'Settings'!$I$10:$I$39,0)),0))</f>
        <v/>
      </c>
      <c r="R702" s="17">
        <f>IF($A702="","",$A702-WEEKDAY($A702,2)+1)</f>
        <v/>
      </c>
    </row>
    <row r="703">
      <c r="A703" s="5" t="n">
        <v>46261</v>
      </c>
      <c r="B703" s="4" t="inlineStr">
        <is>
          <t>Main branch</t>
        </is>
      </c>
      <c r="C703" s="4" t="inlineStr">
        <is>
          <t>Main 1</t>
        </is>
      </c>
      <c r="D703" s="4" t="inlineStr">
        <is>
          <t>Dr Sara Al Harbi</t>
        </is>
      </c>
      <c r="E703" s="4" t="inlineStr">
        <is>
          <t>P-3238</t>
        </is>
      </c>
      <c r="F703" s="4" t="inlineStr">
        <is>
          <t>New</t>
        </is>
      </c>
      <c r="G703" s="4" t="inlineStr">
        <is>
          <t>Instagram</t>
        </is>
      </c>
      <c r="H703" s="4" t="inlineStr">
        <is>
          <t>Follow-up visit</t>
        </is>
      </c>
      <c r="I703" s="9">
        <f>IF($H703="","",IFERROR(INDEX('Settings'!$J$10:$J$39,MATCH($H703,'Settings'!$I$10:$I$39,0)),""))</f>
        <v/>
      </c>
      <c r="J703" s="6" t="n">
        <v>1</v>
      </c>
      <c r="K703" s="8" t="n">
        <v>150</v>
      </c>
      <c r="L703" s="8" t="n"/>
      <c r="M703" s="14">
        <f>IF($A703="","",$J703*$K703)</f>
        <v/>
      </c>
      <c r="N703" s="14">
        <f>IF($A703="","",$M703-$L703)</f>
        <v/>
      </c>
      <c r="O703" s="4" t="inlineStr">
        <is>
          <t>Payment link</t>
        </is>
      </c>
      <c r="P703" s="15">
        <f>IF($A703="","",DATE(YEAR($A703),MONTH($A703),1))</f>
        <v/>
      </c>
      <c r="Q703" s="16">
        <f>IF($H703="","",$J703*IFERROR(INDEX('Settings'!$L$10:$L$39,MATCH($H703,'Settings'!$I$10:$I$39,0)),0))</f>
        <v/>
      </c>
      <c r="R703" s="17">
        <f>IF($A703="","",$A703-WEEKDAY($A703,2)+1)</f>
        <v/>
      </c>
    </row>
    <row r="704">
      <c r="A704" s="5" t="n">
        <v>46261</v>
      </c>
      <c r="B704" s="4" t="inlineStr">
        <is>
          <t>Main branch</t>
        </is>
      </c>
      <c r="C704" s="4" t="inlineStr">
        <is>
          <t>Main 1</t>
        </is>
      </c>
      <c r="D704" s="4" t="inlineStr">
        <is>
          <t>Dr Ahmed Mansour</t>
        </is>
      </c>
      <c r="E704" s="4" t="inlineStr">
        <is>
          <t>P-2228</t>
        </is>
      </c>
      <c r="F704" s="4" t="inlineStr">
        <is>
          <t>Returning</t>
        </is>
      </c>
      <c r="G704" s="4" t="inlineStr">
        <is>
          <t>Google</t>
        </is>
      </c>
      <c r="H704" s="4" t="inlineStr">
        <is>
          <t>Laser session, body</t>
        </is>
      </c>
      <c r="I704" s="9">
        <f>IF($H704="","",IFERROR(INDEX('Settings'!$J$10:$J$39,MATCH($H704,'Settings'!$I$10:$I$39,0)),""))</f>
        <v/>
      </c>
      <c r="J704" s="6" t="n">
        <v>1</v>
      </c>
      <c r="K704" s="8" t="n">
        <v>1200</v>
      </c>
      <c r="L704" s="8" t="n"/>
      <c r="M704" s="14">
        <f>IF($A704="","",$J704*$K704)</f>
        <v/>
      </c>
      <c r="N704" s="14">
        <f>IF($A704="","",$M704-$L704)</f>
        <v/>
      </c>
      <c r="O704" s="4" t="inlineStr">
        <is>
          <t>Transfer</t>
        </is>
      </c>
      <c r="P704" s="15">
        <f>IF($A704="","",DATE(YEAR($A704),MONTH($A704),1))</f>
        <v/>
      </c>
      <c r="Q704" s="16">
        <f>IF($H704="","",$J704*IFERROR(INDEX('Settings'!$L$10:$L$39,MATCH($H704,'Settings'!$I$10:$I$39,0)),0))</f>
        <v/>
      </c>
      <c r="R704" s="17">
        <f>IF($A704="","",$A704-WEEKDAY($A704,2)+1)</f>
        <v/>
      </c>
    </row>
    <row r="705">
      <c r="A705" s="5" t="n">
        <v>46261</v>
      </c>
      <c r="B705" s="4" t="inlineStr">
        <is>
          <t>Main branch</t>
        </is>
      </c>
      <c r="C705" s="4" t="inlineStr">
        <is>
          <t>Main 1</t>
        </is>
      </c>
      <c r="D705" s="4" t="inlineStr">
        <is>
          <t>Dr Sara Al Harbi</t>
        </is>
      </c>
      <c r="E705" s="4" t="inlineStr">
        <is>
          <t>P-3013</t>
        </is>
      </c>
      <c r="F705" s="4" t="inlineStr">
        <is>
          <t>New</t>
        </is>
      </c>
      <c r="G705" s="4" t="inlineStr">
        <is>
          <t>Instagram</t>
        </is>
      </c>
      <c r="H705" s="4" t="inlineStr">
        <is>
          <t>Physiotherapy session</t>
        </is>
      </c>
      <c r="I705" s="9">
        <f>IF($H705="","",IFERROR(INDEX('Settings'!$J$10:$J$39,MATCH($H705,'Settings'!$I$10:$I$39,0)),""))</f>
        <v/>
      </c>
      <c r="J705" s="6" t="n">
        <v>1</v>
      </c>
      <c r="K705" s="8" t="n">
        <v>300</v>
      </c>
      <c r="L705" s="8" t="n">
        <v>30</v>
      </c>
      <c r="M705" s="14">
        <f>IF($A705="","",$J705*$K705)</f>
        <v/>
      </c>
      <c r="N705" s="14">
        <f>IF($A705="","",$M705-$L705)</f>
        <v/>
      </c>
      <c r="O705" s="4" t="inlineStr">
        <is>
          <t>Card</t>
        </is>
      </c>
      <c r="P705" s="15">
        <f>IF($A705="","",DATE(YEAR($A705),MONTH($A705),1))</f>
        <v/>
      </c>
      <c r="Q705" s="16">
        <f>IF($H705="","",$J705*IFERROR(INDEX('Settings'!$L$10:$L$39,MATCH($H705,'Settings'!$I$10:$I$39,0)),0))</f>
        <v/>
      </c>
      <c r="R705" s="17">
        <f>IF($A705="","",$A705-WEEKDAY($A705,2)+1)</f>
        <v/>
      </c>
    </row>
    <row r="706">
      <c r="A706" s="5" t="n">
        <v>46261</v>
      </c>
      <c r="B706" s="4" t="inlineStr">
        <is>
          <t>Main branch</t>
        </is>
      </c>
      <c r="C706" s="4" t="inlineStr">
        <is>
          <t>Main 1</t>
        </is>
      </c>
      <c r="D706" s="4" t="inlineStr">
        <is>
          <t>Dr Sara Al Harbi</t>
        </is>
      </c>
      <c r="E706" s="4" t="inlineStr">
        <is>
          <t>P-2135</t>
        </is>
      </c>
      <c r="F706" s="4" t="inlineStr">
        <is>
          <t>Returning</t>
        </is>
      </c>
      <c r="G706" s="4" t="inlineStr">
        <is>
          <t>WhatsApp</t>
        </is>
      </c>
      <c r="H706" s="4" t="inlineStr">
        <is>
          <t>Laser session, body</t>
        </is>
      </c>
      <c r="I706" s="9">
        <f>IF($H706="","",IFERROR(INDEX('Settings'!$J$10:$J$39,MATCH($H706,'Settings'!$I$10:$I$39,0)),""))</f>
        <v/>
      </c>
      <c r="J706" s="6" t="n">
        <v>1</v>
      </c>
      <c r="K706" s="8" t="n">
        <v>1200</v>
      </c>
      <c r="L706" s="8" t="n"/>
      <c r="M706" s="14">
        <f>IF($A706="","",$J706*$K706)</f>
        <v/>
      </c>
      <c r="N706" s="14">
        <f>IF($A706="","",$M706-$L706)</f>
        <v/>
      </c>
      <c r="O706" s="4" t="inlineStr">
        <is>
          <t>Insurance</t>
        </is>
      </c>
      <c r="P706" s="15">
        <f>IF($A706="","",DATE(YEAR($A706),MONTH($A706),1))</f>
        <v/>
      </c>
      <c r="Q706" s="16">
        <f>IF($H706="","",$J706*IFERROR(INDEX('Settings'!$L$10:$L$39,MATCH($H706,'Settings'!$I$10:$I$39,0)),0))</f>
        <v/>
      </c>
      <c r="R706" s="17">
        <f>IF($A706="","",$A706-WEEKDAY($A706,2)+1)</f>
        <v/>
      </c>
    </row>
    <row r="707">
      <c r="A707" s="5" t="n">
        <v>46261</v>
      </c>
      <c r="B707" s="4" t="inlineStr">
        <is>
          <t>Main branch</t>
        </is>
      </c>
      <c r="C707" s="4" t="inlineStr">
        <is>
          <t>Main 2</t>
        </is>
      </c>
      <c r="D707" s="4" t="inlineStr">
        <is>
          <t>Dr Ahmed Mansour</t>
        </is>
      </c>
      <c r="E707" s="4" t="inlineStr">
        <is>
          <t>P-2826</t>
        </is>
      </c>
      <c r="F707" s="4" t="inlineStr">
        <is>
          <t>New</t>
        </is>
      </c>
      <c r="G707" s="4" t="inlineStr">
        <is>
          <t>Referral</t>
        </is>
      </c>
      <c r="H707" s="4" t="inlineStr">
        <is>
          <t>Skin tag removal</t>
        </is>
      </c>
      <c r="I707" s="9">
        <f>IF($H707="","",IFERROR(INDEX('Settings'!$J$10:$J$39,MATCH($H707,'Settings'!$I$10:$I$39,0)),""))</f>
        <v/>
      </c>
      <c r="J707" s="6" t="n">
        <v>1</v>
      </c>
      <c r="K707" s="8" t="n">
        <v>500</v>
      </c>
      <c r="L707" s="8" t="n"/>
      <c r="M707" s="14">
        <f>IF($A707="","",$J707*$K707)</f>
        <v/>
      </c>
      <c r="N707" s="14">
        <f>IF($A707="","",$M707-$L707)</f>
        <v/>
      </c>
      <c r="O707" s="4" t="inlineStr">
        <is>
          <t>Cash</t>
        </is>
      </c>
      <c r="P707" s="15">
        <f>IF($A707="","",DATE(YEAR($A707),MONTH($A707),1))</f>
        <v/>
      </c>
      <c r="Q707" s="16">
        <f>IF($H707="","",$J707*IFERROR(INDEX('Settings'!$L$10:$L$39,MATCH($H707,'Settings'!$I$10:$I$39,0)),0))</f>
        <v/>
      </c>
      <c r="R707" s="17">
        <f>IF($A707="","",$A707-WEEKDAY($A707,2)+1)</f>
        <v/>
      </c>
    </row>
    <row r="708">
      <c r="A708" s="5" t="n">
        <v>46261</v>
      </c>
      <c r="B708" s="4" t="inlineStr">
        <is>
          <t>Main branch</t>
        </is>
      </c>
      <c r="C708" s="4" t="inlineStr">
        <is>
          <t>Main 2</t>
        </is>
      </c>
      <c r="D708" s="4" t="inlineStr">
        <is>
          <t>Dr Sara Al Harbi</t>
        </is>
      </c>
      <c r="E708" s="4" t="inlineStr">
        <is>
          <t>P-2706</t>
        </is>
      </c>
      <c r="F708" s="4" t="inlineStr">
        <is>
          <t>Returning</t>
        </is>
      </c>
      <c r="G708" s="4" t="inlineStr">
        <is>
          <t>WhatsApp</t>
        </is>
      </c>
      <c r="H708" s="4" t="inlineStr">
        <is>
          <t>Laser session, face</t>
        </is>
      </c>
      <c r="I708" s="9">
        <f>IF($H708="","",IFERROR(INDEX('Settings'!$J$10:$J$39,MATCH($H708,'Settings'!$I$10:$I$39,0)),""))</f>
        <v/>
      </c>
      <c r="J708" s="6" t="n">
        <v>1</v>
      </c>
      <c r="K708" s="8" t="n">
        <v>600</v>
      </c>
      <c r="L708" s="8" t="n"/>
      <c r="M708" s="14">
        <f>IF($A708="","",$J708*$K708)</f>
        <v/>
      </c>
      <c r="N708" s="14">
        <f>IF($A708="","",$M708-$L708)</f>
        <v/>
      </c>
      <c r="O708" s="4" t="inlineStr">
        <is>
          <t>Insurance</t>
        </is>
      </c>
      <c r="P708" s="15">
        <f>IF($A708="","",DATE(YEAR($A708),MONTH($A708),1))</f>
        <v/>
      </c>
      <c r="Q708" s="16">
        <f>IF($H708="","",$J708*IFERROR(INDEX('Settings'!$L$10:$L$39,MATCH($H708,'Settings'!$I$10:$I$39,0)),0))</f>
        <v/>
      </c>
      <c r="R708" s="17">
        <f>IF($A708="","",$A708-WEEKDAY($A708,2)+1)</f>
        <v/>
      </c>
    </row>
    <row r="709">
      <c r="A709" s="5" t="n">
        <v>46261</v>
      </c>
      <c r="B709" s="4" t="inlineStr">
        <is>
          <t>North branch</t>
        </is>
      </c>
      <c r="C709" s="4" t="inlineStr">
        <is>
          <t>North 1</t>
        </is>
      </c>
      <c r="D709" s="4" t="inlineStr">
        <is>
          <t>Dr Khaled Youssef</t>
        </is>
      </c>
      <c r="E709" s="4" t="inlineStr">
        <is>
          <t>P-2807</t>
        </is>
      </c>
      <c r="F709" s="4" t="inlineStr">
        <is>
          <t>New</t>
        </is>
      </c>
      <c r="G709" s="4" t="inlineStr">
        <is>
          <t>Instagram</t>
        </is>
      </c>
      <c r="H709" s="4" t="inlineStr">
        <is>
          <t>Follow-up visit</t>
        </is>
      </c>
      <c r="I709" s="9">
        <f>IF($H709="","",IFERROR(INDEX('Settings'!$J$10:$J$39,MATCH($H709,'Settings'!$I$10:$I$39,0)),""))</f>
        <v/>
      </c>
      <c r="J709" s="6" t="n">
        <v>1</v>
      </c>
      <c r="K709" s="8" t="n">
        <v>150</v>
      </c>
      <c r="L709" s="8" t="n"/>
      <c r="M709" s="14">
        <f>IF($A709="","",$J709*$K709)</f>
        <v/>
      </c>
      <c r="N709" s="14">
        <f>IF($A709="","",$M709-$L709)</f>
        <v/>
      </c>
      <c r="O709" s="4" t="inlineStr">
        <is>
          <t>Card</t>
        </is>
      </c>
      <c r="P709" s="15">
        <f>IF($A709="","",DATE(YEAR($A709),MONTH($A709),1))</f>
        <v/>
      </c>
      <c r="Q709" s="16">
        <f>IF($H709="","",$J709*IFERROR(INDEX('Settings'!$L$10:$L$39,MATCH($H709,'Settings'!$I$10:$I$39,0)),0))</f>
        <v/>
      </c>
      <c r="R709" s="17">
        <f>IF($A709="","",$A709-WEEKDAY($A709,2)+1)</f>
        <v/>
      </c>
    </row>
    <row r="710">
      <c r="A710" s="5" t="n">
        <v>46261</v>
      </c>
      <c r="B710" s="4" t="inlineStr">
        <is>
          <t>North branch</t>
        </is>
      </c>
      <c r="C710" s="4" t="inlineStr">
        <is>
          <t>North 1</t>
        </is>
      </c>
      <c r="D710" s="4" t="inlineStr">
        <is>
          <t>Dr Layla Al Qahtani</t>
        </is>
      </c>
      <c r="E710" s="4" t="inlineStr">
        <is>
          <t>P-3173</t>
        </is>
      </c>
      <c r="F710" s="4" t="inlineStr">
        <is>
          <t>Returning</t>
        </is>
      </c>
      <c r="G710" s="4" t="inlineStr">
        <is>
          <t>Instagram</t>
        </is>
      </c>
      <c r="H710" s="4" t="inlineStr">
        <is>
          <t>Sunscreen cream</t>
        </is>
      </c>
      <c r="I710" s="9">
        <f>IF($H710="","",IFERROR(INDEX('Settings'!$J$10:$J$39,MATCH($H710,'Settings'!$I$10:$I$39,0)),""))</f>
        <v/>
      </c>
      <c r="J710" s="6" t="n">
        <v>1</v>
      </c>
      <c r="K710" s="8" t="n">
        <v>120</v>
      </c>
      <c r="L710" s="8" t="n"/>
      <c r="M710" s="14">
        <f>IF($A710="","",$J710*$K710)</f>
        <v/>
      </c>
      <c r="N710" s="14">
        <f>IF($A710="","",$M710-$L710)</f>
        <v/>
      </c>
      <c r="O710" s="4" t="inlineStr">
        <is>
          <t>Cash</t>
        </is>
      </c>
      <c r="P710" s="15">
        <f>IF($A710="","",DATE(YEAR($A710),MONTH($A710),1))</f>
        <v/>
      </c>
      <c r="Q710" s="16">
        <f>IF($H710="","",$J710*IFERROR(INDEX('Settings'!$L$10:$L$39,MATCH($H710,'Settings'!$I$10:$I$39,0)),0))</f>
        <v/>
      </c>
      <c r="R710" s="17">
        <f>IF($A710="","",$A710-WEEKDAY($A710,2)+1)</f>
        <v/>
      </c>
    </row>
    <row r="711">
      <c r="A711" s="5" t="n">
        <v>46261</v>
      </c>
      <c r="B711" s="4" t="inlineStr">
        <is>
          <t>North branch</t>
        </is>
      </c>
      <c r="C711" s="4" t="inlineStr">
        <is>
          <t>North 1</t>
        </is>
      </c>
      <c r="D711" s="4" t="inlineStr">
        <is>
          <t>Dr Mohamed Adel</t>
        </is>
      </c>
      <c r="E711" s="4" t="inlineStr">
        <is>
          <t>P-2252</t>
        </is>
      </c>
      <c r="F711" s="4" t="inlineStr">
        <is>
          <t>New</t>
        </is>
      </c>
      <c r="G711" s="4" t="inlineStr">
        <is>
          <t>WhatsApp</t>
        </is>
      </c>
      <c r="H711" s="4" t="inlineStr">
        <is>
          <t>Botulinum toxin</t>
        </is>
      </c>
      <c r="I711" s="9">
        <f>IF($H711="","",IFERROR(INDEX('Settings'!$J$10:$J$39,MATCH($H711,'Settings'!$I$10:$I$39,0)),""))</f>
        <v/>
      </c>
      <c r="J711" s="6" t="n">
        <v>1</v>
      </c>
      <c r="K711" s="8" t="n">
        <v>1500</v>
      </c>
      <c r="L711" s="8" t="n"/>
      <c r="M711" s="14">
        <f>IF($A711="","",$J711*$K711)</f>
        <v/>
      </c>
      <c r="N711" s="14">
        <f>IF($A711="","",$M711-$L711)</f>
        <v/>
      </c>
      <c r="O711" s="4" t="inlineStr">
        <is>
          <t>Card</t>
        </is>
      </c>
      <c r="P711" s="15">
        <f>IF($A711="","",DATE(YEAR($A711),MONTH($A711),1))</f>
        <v/>
      </c>
      <c r="Q711" s="16">
        <f>IF($H711="","",$J711*IFERROR(INDEX('Settings'!$L$10:$L$39,MATCH($H711,'Settings'!$I$10:$I$39,0)),0))</f>
        <v/>
      </c>
      <c r="R711" s="17">
        <f>IF($A711="","",$A711-WEEKDAY($A711,2)+1)</f>
        <v/>
      </c>
    </row>
    <row r="712">
      <c r="A712" s="5" t="n">
        <v>46261</v>
      </c>
      <c r="B712" s="4" t="inlineStr">
        <is>
          <t>North branch</t>
        </is>
      </c>
      <c r="C712" s="4" t="inlineStr">
        <is>
          <t>North 1</t>
        </is>
      </c>
      <c r="D712" s="4" t="inlineStr">
        <is>
          <t>Dr Khaled Youssef</t>
        </is>
      </c>
      <c r="E712" s="4" t="inlineStr">
        <is>
          <t>P-2708</t>
        </is>
      </c>
      <c r="F712" s="4" t="inlineStr">
        <is>
          <t>New</t>
        </is>
      </c>
      <c r="G712" s="4" t="inlineStr">
        <is>
          <t>Walk-in</t>
        </is>
      </c>
      <c r="H712" s="4" t="inlineStr">
        <is>
          <t>Sunscreen cream</t>
        </is>
      </c>
      <c r="I712" s="9">
        <f>IF($H712="","",IFERROR(INDEX('Settings'!$J$10:$J$39,MATCH($H712,'Settings'!$I$10:$I$39,0)),""))</f>
        <v/>
      </c>
      <c r="J712" s="6" t="n">
        <v>2</v>
      </c>
      <c r="K712" s="8" t="n">
        <v>120</v>
      </c>
      <c r="L712" s="8" t="n">
        <v>10</v>
      </c>
      <c r="M712" s="14">
        <f>IF($A712="","",$J712*$K712)</f>
        <v/>
      </c>
      <c r="N712" s="14">
        <f>IF($A712="","",$M712-$L712)</f>
        <v/>
      </c>
      <c r="O712" s="4" t="inlineStr">
        <is>
          <t>Cash</t>
        </is>
      </c>
      <c r="P712" s="15">
        <f>IF($A712="","",DATE(YEAR($A712),MONTH($A712),1))</f>
        <v/>
      </c>
      <c r="Q712" s="16">
        <f>IF($H712="","",$J712*IFERROR(INDEX('Settings'!$L$10:$L$39,MATCH($H712,'Settings'!$I$10:$I$39,0)),0))</f>
        <v/>
      </c>
      <c r="R712" s="17">
        <f>IF($A712="","",$A712-WEEKDAY($A712,2)+1)</f>
        <v/>
      </c>
    </row>
    <row r="713">
      <c r="A713" s="5" t="n">
        <v>46261</v>
      </c>
      <c r="B713" s="4" t="inlineStr">
        <is>
          <t>North branch</t>
        </is>
      </c>
      <c r="C713" s="4" t="inlineStr">
        <is>
          <t>North 1</t>
        </is>
      </c>
      <c r="D713" s="4" t="inlineStr">
        <is>
          <t>Dr Khaled Youssef</t>
        </is>
      </c>
      <c r="E713" s="4" t="inlineStr">
        <is>
          <t>P-2597</t>
        </is>
      </c>
      <c r="F713" s="4" t="inlineStr">
        <is>
          <t>Returning</t>
        </is>
      </c>
      <c r="G713" s="4" t="inlineStr">
        <is>
          <t>Google</t>
        </is>
      </c>
      <c r="H713" s="4" t="inlineStr">
        <is>
          <t>Laser session, face</t>
        </is>
      </c>
      <c r="I713" s="9">
        <f>IF($H713="","",IFERROR(INDEX('Settings'!$J$10:$J$39,MATCH($H713,'Settings'!$I$10:$I$39,0)),""))</f>
        <v/>
      </c>
      <c r="J713" s="6" t="n">
        <v>1</v>
      </c>
      <c r="K713" s="8" t="n">
        <v>600</v>
      </c>
      <c r="L713" s="8" t="n"/>
      <c r="M713" s="14">
        <f>IF($A713="","",$J713*$K713)</f>
        <v/>
      </c>
      <c r="N713" s="14">
        <f>IF($A713="","",$M713-$L713)</f>
        <v/>
      </c>
      <c r="O713" s="4" t="inlineStr">
        <is>
          <t>Card</t>
        </is>
      </c>
      <c r="P713" s="15">
        <f>IF($A713="","",DATE(YEAR($A713),MONTH($A713),1))</f>
        <v/>
      </c>
      <c r="Q713" s="16">
        <f>IF($H713="","",$J713*IFERROR(INDEX('Settings'!$L$10:$L$39,MATCH($H713,'Settings'!$I$10:$I$39,0)),0))</f>
        <v/>
      </c>
      <c r="R713" s="17">
        <f>IF($A713="","",$A713-WEEKDAY($A713,2)+1)</f>
        <v/>
      </c>
    </row>
    <row r="714">
      <c r="A714" s="5" t="n">
        <v>46261</v>
      </c>
      <c r="B714" s="4" t="inlineStr">
        <is>
          <t>North branch</t>
        </is>
      </c>
      <c r="C714" s="4" t="inlineStr">
        <is>
          <t>North 1</t>
        </is>
      </c>
      <c r="D714" s="4" t="inlineStr">
        <is>
          <t>Dr Layla Al Qahtani</t>
        </is>
      </c>
      <c r="E714" s="4" t="inlineStr">
        <is>
          <t>P-2847</t>
        </is>
      </c>
      <c r="F714" s="4" t="inlineStr">
        <is>
          <t>Returning</t>
        </is>
      </c>
      <c r="G714" s="4" t="inlineStr">
        <is>
          <t>WhatsApp</t>
        </is>
      </c>
      <c r="H714" s="4" t="inlineStr">
        <is>
          <t>Botulinum toxin</t>
        </is>
      </c>
      <c r="I714" s="9">
        <f>IF($H714="","",IFERROR(INDEX('Settings'!$J$10:$J$39,MATCH($H714,'Settings'!$I$10:$I$39,0)),""))</f>
        <v/>
      </c>
      <c r="J714" s="6" t="n">
        <v>1</v>
      </c>
      <c r="K714" s="8" t="n">
        <v>1500</v>
      </c>
      <c r="L714" s="8" t="n">
        <v>150</v>
      </c>
      <c r="M714" s="14">
        <f>IF($A714="","",$J714*$K714)</f>
        <v/>
      </c>
      <c r="N714" s="14">
        <f>IF($A714="","",$M714-$L714)</f>
        <v/>
      </c>
      <c r="O714" s="4" t="inlineStr">
        <is>
          <t>Cash</t>
        </is>
      </c>
      <c r="P714" s="15">
        <f>IF($A714="","",DATE(YEAR($A714),MONTH($A714),1))</f>
        <v/>
      </c>
      <c r="Q714" s="16">
        <f>IF($H714="","",$J714*IFERROR(INDEX('Settings'!$L$10:$L$39,MATCH($H714,'Settings'!$I$10:$I$39,0)),0))</f>
        <v/>
      </c>
      <c r="R714" s="17">
        <f>IF($A714="","",$A714-WEEKDAY($A714,2)+1)</f>
        <v/>
      </c>
    </row>
    <row r="715">
      <c r="A715" s="5" t="n">
        <v>46261</v>
      </c>
      <c r="B715" s="4" t="inlineStr">
        <is>
          <t>North branch</t>
        </is>
      </c>
      <c r="C715" s="4" t="inlineStr">
        <is>
          <t>North 1</t>
        </is>
      </c>
      <c r="D715" s="4" t="inlineStr">
        <is>
          <t>Dr Khaled Youssef</t>
        </is>
      </c>
      <c r="E715" s="4" t="inlineStr">
        <is>
          <t>P-3375</t>
        </is>
      </c>
      <c r="F715" s="4" t="inlineStr">
        <is>
          <t>New</t>
        </is>
      </c>
      <c r="G715" s="4" t="inlineStr">
        <is>
          <t>Referral</t>
        </is>
      </c>
      <c r="H715" s="4" t="inlineStr">
        <is>
          <t>Laser session, face</t>
        </is>
      </c>
      <c r="I715" s="9">
        <f>IF($H715="","",IFERROR(INDEX('Settings'!$J$10:$J$39,MATCH($H715,'Settings'!$I$10:$I$39,0)),""))</f>
        <v/>
      </c>
      <c r="J715" s="6" t="n">
        <v>1</v>
      </c>
      <c r="K715" s="8" t="n">
        <v>600</v>
      </c>
      <c r="L715" s="8" t="n"/>
      <c r="M715" s="14">
        <f>IF($A715="","",$J715*$K715)</f>
        <v/>
      </c>
      <c r="N715" s="14">
        <f>IF($A715="","",$M715-$L715)</f>
        <v/>
      </c>
      <c r="O715" s="4" t="inlineStr">
        <is>
          <t>Cash</t>
        </is>
      </c>
      <c r="P715" s="15">
        <f>IF($A715="","",DATE(YEAR($A715),MONTH($A715),1))</f>
        <v/>
      </c>
      <c r="Q715" s="16">
        <f>IF($H715="","",$J715*IFERROR(INDEX('Settings'!$L$10:$L$39,MATCH($H715,'Settings'!$I$10:$I$39,0)),0))</f>
        <v/>
      </c>
      <c r="R715" s="17">
        <f>IF($A715="","",$A715-WEEKDAY($A715,2)+1)</f>
        <v/>
      </c>
    </row>
    <row r="716">
      <c r="A716" s="5" t="n">
        <v>46261</v>
      </c>
      <c r="B716" s="4" t="inlineStr">
        <is>
          <t>North branch</t>
        </is>
      </c>
      <c r="C716" s="4" t="inlineStr">
        <is>
          <t>North 2</t>
        </is>
      </c>
      <c r="D716" s="4" t="inlineStr">
        <is>
          <t>Dr Mohamed Adel</t>
        </is>
      </c>
      <c r="E716" s="4" t="inlineStr">
        <is>
          <t>P-2878</t>
        </is>
      </c>
      <c r="F716" s="4" t="inlineStr">
        <is>
          <t>New</t>
        </is>
      </c>
      <c r="G716" s="4" t="inlineStr">
        <is>
          <t>WhatsApp</t>
        </is>
      </c>
      <c r="H716" s="4" t="inlineStr">
        <is>
          <t>Laser session, body</t>
        </is>
      </c>
      <c r="I716" s="9">
        <f>IF($H716="","",IFERROR(INDEX('Settings'!$J$10:$J$39,MATCH($H716,'Settings'!$I$10:$I$39,0)),""))</f>
        <v/>
      </c>
      <c r="J716" s="6" t="n">
        <v>1</v>
      </c>
      <c r="K716" s="8" t="n">
        <v>1200</v>
      </c>
      <c r="L716" s="8" t="n">
        <v>60</v>
      </c>
      <c r="M716" s="14">
        <f>IF($A716="","",$J716*$K716)</f>
        <v/>
      </c>
      <c r="N716" s="14">
        <f>IF($A716="","",$M716-$L716)</f>
        <v/>
      </c>
      <c r="O716" s="4" t="inlineStr">
        <is>
          <t>Transfer</t>
        </is>
      </c>
      <c r="P716" s="15">
        <f>IF($A716="","",DATE(YEAR($A716),MONTH($A716),1))</f>
        <v/>
      </c>
      <c r="Q716" s="16">
        <f>IF($H716="","",$J716*IFERROR(INDEX('Settings'!$L$10:$L$39,MATCH($H716,'Settings'!$I$10:$I$39,0)),0))</f>
        <v/>
      </c>
      <c r="R716" s="17">
        <f>IF($A716="","",$A716-WEEKDAY($A716,2)+1)</f>
        <v/>
      </c>
    </row>
    <row r="717">
      <c r="A717" s="5" t="n">
        <v>46261</v>
      </c>
      <c r="B717" s="4" t="inlineStr">
        <is>
          <t>North branch</t>
        </is>
      </c>
      <c r="C717" s="4" t="inlineStr">
        <is>
          <t>North 2</t>
        </is>
      </c>
      <c r="D717" s="4" t="inlineStr">
        <is>
          <t>Dr Khaled Youssef</t>
        </is>
      </c>
      <c r="E717" s="4" t="inlineStr">
        <is>
          <t>P-2903</t>
        </is>
      </c>
      <c r="F717" s="4" t="inlineStr">
        <is>
          <t>Returning</t>
        </is>
      </c>
      <c r="G717" s="4" t="inlineStr">
        <is>
          <t>Instagram</t>
        </is>
      </c>
      <c r="H717" s="4" t="inlineStr">
        <is>
          <t>Facial cleansing</t>
        </is>
      </c>
      <c r="I717" s="9">
        <f>IF($H717="","",IFERROR(INDEX('Settings'!$J$10:$J$39,MATCH($H717,'Settings'!$I$10:$I$39,0)),""))</f>
        <v/>
      </c>
      <c r="J717" s="6" t="n">
        <v>1</v>
      </c>
      <c r="K717" s="8" t="n">
        <v>400</v>
      </c>
      <c r="L717" s="8" t="n"/>
      <c r="M717" s="14">
        <f>IF($A717="","",$J717*$K717)</f>
        <v/>
      </c>
      <c r="N717" s="14">
        <f>IF($A717="","",$M717-$L717)</f>
        <v/>
      </c>
      <c r="O717" s="4" t="inlineStr">
        <is>
          <t>Card</t>
        </is>
      </c>
      <c r="P717" s="15">
        <f>IF($A717="","",DATE(YEAR($A717),MONTH($A717),1))</f>
        <v/>
      </c>
      <c r="Q717" s="16">
        <f>IF($H717="","",$J717*IFERROR(INDEX('Settings'!$L$10:$L$39,MATCH($H717,'Settings'!$I$10:$I$39,0)),0))</f>
        <v/>
      </c>
      <c r="R717" s="17">
        <f>IF($A717="","",$A717-WEEKDAY($A717,2)+1)</f>
        <v/>
      </c>
    </row>
    <row r="718">
      <c r="A718" s="5" t="n">
        <v>46261</v>
      </c>
      <c r="B718" s="4" t="inlineStr">
        <is>
          <t>North branch</t>
        </is>
      </c>
      <c r="C718" s="4" t="inlineStr">
        <is>
          <t>North 2</t>
        </is>
      </c>
      <c r="D718" s="4" t="inlineStr">
        <is>
          <t>Dr Layla Al Qahtani</t>
        </is>
      </c>
      <c r="E718" s="4" t="inlineStr">
        <is>
          <t>P-2521</t>
        </is>
      </c>
      <c r="F718" s="4" t="inlineStr">
        <is>
          <t>New</t>
        </is>
      </c>
      <c r="G718" s="4" t="inlineStr">
        <is>
          <t>Google</t>
        </is>
      </c>
      <c r="H718" s="4" t="inlineStr">
        <is>
          <t>Follow-up visit</t>
        </is>
      </c>
      <c r="I718" s="9">
        <f>IF($H718="","",IFERROR(INDEX('Settings'!$J$10:$J$39,MATCH($H718,'Settings'!$I$10:$I$39,0)),""))</f>
        <v/>
      </c>
      <c r="J718" s="6" t="n">
        <v>1</v>
      </c>
      <c r="K718" s="8" t="n">
        <v>150</v>
      </c>
      <c r="L718" s="8" t="n"/>
      <c r="M718" s="14">
        <f>IF($A718="","",$J718*$K718)</f>
        <v/>
      </c>
      <c r="N718" s="14">
        <f>IF($A718="","",$M718-$L718)</f>
        <v/>
      </c>
      <c r="O718" s="4" t="inlineStr">
        <is>
          <t>Card</t>
        </is>
      </c>
      <c r="P718" s="15">
        <f>IF($A718="","",DATE(YEAR($A718),MONTH($A718),1))</f>
        <v/>
      </c>
      <c r="Q718" s="16">
        <f>IF($H718="","",$J718*IFERROR(INDEX('Settings'!$L$10:$L$39,MATCH($H718,'Settings'!$I$10:$I$39,0)),0))</f>
        <v/>
      </c>
      <c r="R718" s="17">
        <f>IF($A718="","",$A718-WEEKDAY($A718,2)+1)</f>
        <v/>
      </c>
    </row>
    <row r="719">
      <c r="A719" s="5" t="n">
        <v>46261</v>
      </c>
      <c r="B719" s="4" t="inlineStr">
        <is>
          <t>North branch</t>
        </is>
      </c>
      <c r="C719" s="4" t="inlineStr">
        <is>
          <t>North 2</t>
        </is>
      </c>
      <c r="D719" s="4" t="inlineStr">
        <is>
          <t>Dr Khaled Youssef</t>
        </is>
      </c>
      <c r="E719" s="4" t="inlineStr">
        <is>
          <t>P-3248</t>
        </is>
      </c>
      <c r="F719" s="4" t="inlineStr">
        <is>
          <t>New</t>
        </is>
      </c>
      <c r="G719" s="4" t="inlineStr">
        <is>
          <t>Instagram</t>
        </is>
      </c>
      <c r="H719" s="4" t="inlineStr">
        <is>
          <t>Physiotherapy session</t>
        </is>
      </c>
      <c r="I719" s="9">
        <f>IF($H719="","",IFERROR(INDEX('Settings'!$J$10:$J$39,MATCH($H719,'Settings'!$I$10:$I$39,0)),""))</f>
        <v/>
      </c>
      <c r="J719" s="6" t="n">
        <v>1</v>
      </c>
      <c r="K719" s="8" t="n">
        <v>300</v>
      </c>
      <c r="L719" s="8" t="n"/>
      <c r="M719" s="14">
        <f>IF($A719="","",$J719*$K719)</f>
        <v/>
      </c>
      <c r="N719" s="14">
        <f>IF($A719="","",$M719-$L719)</f>
        <v/>
      </c>
      <c r="O719" s="4" t="inlineStr">
        <is>
          <t>Insurance</t>
        </is>
      </c>
      <c r="P719" s="15">
        <f>IF($A719="","",DATE(YEAR($A719),MONTH($A719),1))</f>
        <v/>
      </c>
      <c r="Q719" s="16">
        <f>IF($H719="","",$J719*IFERROR(INDEX('Settings'!$L$10:$L$39,MATCH($H719,'Settings'!$I$10:$I$39,0)),0))</f>
        <v/>
      </c>
      <c r="R719" s="17">
        <f>IF($A719="","",$A719-WEEKDAY($A719,2)+1)</f>
        <v/>
      </c>
    </row>
    <row r="720">
      <c r="A720" s="5" t="n">
        <v>46263</v>
      </c>
      <c r="B720" s="4" t="inlineStr">
        <is>
          <t>Main branch</t>
        </is>
      </c>
      <c r="C720" s="4" t="inlineStr">
        <is>
          <t>Main 3</t>
        </is>
      </c>
      <c r="D720" s="4" t="inlineStr">
        <is>
          <t>Dr Sara Al Harbi</t>
        </is>
      </c>
      <c r="E720" s="4" t="inlineStr">
        <is>
          <t>P-2157</t>
        </is>
      </c>
      <c r="F720" s="4" t="inlineStr">
        <is>
          <t>Returning</t>
        </is>
      </c>
      <c r="G720" s="4" t="inlineStr">
        <is>
          <t>WhatsApp</t>
        </is>
      </c>
      <c r="H720" s="4" t="inlineStr">
        <is>
          <t>Sunscreen cream</t>
        </is>
      </c>
      <c r="I720" s="9">
        <f>IF($H720="","",IFERROR(INDEX('Settings'!$J$10:$J$39,MATCH($H720,'Settings'!$I$10:$I$39,0)),""))</f>
        <v/>
      </c>
      <c r="J720" s="6" t="n">
        <v>2</v>
      </c>
      <c r="K720" s="8" t="n">
        <v>120</v>
      </c>
      <c r="L720" s="8" t="n"/>
      <c r="M720" s="14">
        <f>IF($A720="","",$J720*$K720)</f>
        <v/>
      </c>
      <c r="N720" s="14">
        <f>IF($A720="","",$M720-$L720)</f>
        <v/>
      </c>
      <c r="O720" s="4" t="inlineStr">
        <is>
          <t>Card</t>
        </is>
      </c>
      <c r="P720" s="15">
        <f>IF($A720="","",DATE(YEAR($A720),MONTH($A720),1))</f>
        <v/>
      </c>
      <c r="Q720" s="16">
        <f>IF($H720="","",$J720*IFERROR(INDEX('Settings'!$L$10:$L$39,MATCH($H720,'Settings'!$I$10:$I$39,0)),0))</f>
        <v/>
      </c>
      <c r="R720" s="17">
        <f>IF($A720="","",$A720-WEEKDAY($A720,2)+1)</f>
        <v/>
      </c>
    </row>
    <row r="721">
      <c r="A721" s="5" t="n">
        <v>46263</v>
      </c>
      <c r="B721" s="4" t="inlineStr">
        <is>
          <t>Main branch</t>
        </is>
      </c>
      <c r="C721" s="4" t="inlineStr">
        <is>
          <t>Main 3</t>
        </is>
      </c>
      <c r="D721" s="4" t="inlineStr">
        <is>
          <t>Dr Noura Al Subaie</t>
        </is>
      </c>
      <c r="E721" s="4" t="inlineStr">
        <is>
          <t>P-2552</t>
        </is>
      </c>
      <c r="F721" s="4" t="inlineStr">
        <is>
          <t>Returning</t>
        </is>
      </c>
      <c r="G721" s="4" t="inlineStr">
        <is>
          <t>Referral</t>
        </is>
      </c>
      <c r="H721" s="4" t="inlineStr">
        <is>
          <t>Laser session, face</t>
        </is>
      </c>
      <c r="I721" s="9">
        <f>IF($H721="","",IFERROR(INDEX('Settings'!$J$10:$J$39,MATCH($H721,'Settings'!$I$10:$I$39,0)),""))</f>
        <v/>
      </c>
      <c r="J721" s="6" t="n">
        <v>1</v>
      </c>
      <c r="K721" s="8" t="n">
        <v>600</v>
      </c>
      <c r="L721" s="8" t="n"/>
      <c r="M721" s="14">
        <f>IF($A721="","",$J721*$K721)</f>
        <v/>
      </c>
      <c r="N721" s="14">
        <f>IF($A721="","",$M721-$L721)</f>
        <v/>
      </c>
      <c r="O721" s="4" t="inlineStr">
        <is>
          <t>Payment link</t>
        </is>
      </c>
      <c r="P721" s="15">
        <f>IF($A721="","",DATE(YEAR($A721),MONTH($A721),1))</f>
        <v/>
      </c>
      <c r="Q721" s="16">
        <f>IF($H721="","",$J721*IFERROR(INDEX('Settings'!$L$10:$L$39,MATCH($H721,'Settings'!$I$10:$I$39,0)),0))</f>
        <v/>
      </c>
      <c r="R721" s="17">
        <f>IF($A721="","",$A721-WEEKDAY($A721,2)+1)</f>
        <v/>
      </c>
    </row>
    <row r="722">
      <c r="A722" s="5" t="n">
        <v>46263</v>
      </c>
      <c r="B722" s="4" t="inlineStr">
        <is>
          <t>Main branch</t>
        </is>
      </c>
      <c r="C722" s="4" t="inlineStr">
        <is>
          <t>Main 3</t>
        </is>
      </c>
      <c r="D722" s="4" t="inlineStr">
        <is>
          <t>Dr Ahmed Mansour</t>
        </is>
      </c>
      <c r="E722" s="4" t="inlineStr">
        <is>
          <t>P-2935</t>
        </is>
      </c>
      <c r="F722" s="4" t="inlineStr">
        <is>
          <t>Returning</t>
        </is>
      </c>
      <c r="G722" s="4" t="inlineStr">
        <is>
          <t>Google</t>
        </is>
      </c>
      <c r="H722" s="4" t="inlineStr">
        <is>
          <t>Follow-up visit</t>
        </is>
      </c>
      <c r="I722" s="9">
        <f>IF($H722="","",IFERROR(INDEX('Settings'!$J$10:$J$39,MATCH($H722,'Settings'!$I$10:$I$39,0)),""))</f>
        <v/>
      </c>
      <c r="J722" s="6" t="n">
        <v>1</v>
      </c>
      <c r="K722" s="8" t="n">
        <v>150</v>
      </c>
      <c r="L722" s="8" t="n"/>
      <c r="M722" s="14">
        <f>IF($A722="","",$J722*$K722)</f>
        <v/>
      </c>
      <c r="N722" s="14">
        <f>IF($A722="","",$M722-$L722)</f>
        <v/>
      </c>
      <c r="O722" s="4" t="inlineStr">
        <is>
          <t>Cash</t>
        </is>
      </c>
      <c r="P722" s="15">
        <f>IF($A722="","",DATE(YEAR($A722),MONTH($A722),1))</f>
        <v/>
      </c>
      <c r="Q722" s="16">
        <f>IF($H722="","",$J722*IFERROR(INDEX('Settings'!$L$10:$L$39,MATCH($H722,'Settings'!$I$10:$I$39,0)),0))</f>
        <v/>
      </c>
      <c r="R722" s="17">
        <f>IF($A722="","",$A722-WEEKDAY($A722,2)+1)</f>
        <v/>
      </c>
    </row>
    <row r="723">
      <c r="A723" s="5" t="n">
        <v>46263</v>
      </c>
      <c r="B723" s="4" t="inlineStr">
        <is>
          <t>Main branch</t>
        </is>
      </c>
      <c r="C723" s="4" t="inlineStr">
        <is>
          <t>Main 3</t>
        </is>
      </c>
      <c r="D723" s="4" t="inlineStr">
        <is>
          <t>Dr Sara Al Harbi</t>
        </is>
      </c>
      <c r="E723" s="4" t="inlineStr">
        <is>
          <t>P-2192</t>
        </is>
      </c>
      <c r="F723" s="4" t="inlineStr">
        <is>
          <t>Returning</t>
        </is>
      </c>
      <c r="G723" s="4" t="inlineStr">
        <is>
          <t>Instagram</t>
        </is>
      </c>
      <c r="H723" s="4" t="inlineStr">
        <is>
          <t>Laser session, face</t>
        </is>
      </c>
      <c r="I723" s="9">
        <f>IF($H723="","",IFERROR(INDEX('Settings'!$J$10:$J$39,MATCH($H723,'Settings'!$I$10:$I$39,0)),""))</f>
        <v/>
      </c>
      <c r="J723" s="6" t="n">
        <v>1</v>
      </c>
      <c r="K723" s="8" t="n">
        <v>600</v>
      </c>
      <c r="L723" s="8" t="n"/>
      <c r="M723" s="14">
        <f>IF($A723="","",$J723*$K723)</f>
        <v/>
      </c>
      <c r="N723" s="14">
        <f>IF($A723="","",$M723-$L723)</f>
        <v/>
      </c>
      <c r="O723" s="4" t="inlineStr">
        <is>
          <t>Card</t>
        </is>
      </c>
      <c r="P723" s="15">
        <f>IF($A723="","",DATE(YEAR($A723),MONTH($A723),1))</f>
        <v/>
      </c>
      <c r="Q723" s="16">
        <f>IF($H723="","",$J723*IFERROR(INDEX('Settings'!$L$10:$L$39,MATCH($H723,'Settings'!$I$10:$I$39,0)),0))</f>
        <v/>
      </c>
      <c r="R723" s="17">
        <f>IF($A723="","",$A723-WEEKDAY($A723,2)+1)</f>
        <v/>
      </c>
    </row>
    <row r="724">
      <c r="A724" s="5" t="n">
        <v>46263</v>
      </c>
      <c r="B724" s="4" t="inlineStr">
        <is>
          <t>Main branch</t>
        </is>
      </c>
      <c r="C724" s="4" t="inlineStr">
        <is>
          <t>Main 3</t>
        </is>
      </c>
      <c r="D724" s="4" t="inlineStr">
        <is>
          <t>Dr Sara Al Harbi</t>
        </is>
      </c>
      <c r="E724" s="4" t="inlineStr">
        <is>
          <t>P-2169</t>
        </is>
      </c>
      <c r="F724" s="4" t="inlineStr">
        <is>
          <t>New</t>
        </is>
      </c>
      <c r="G724" s="4" t="inlineStr">
        <is>
          <t>Referral</t>
        </is>
      </c>
      <c r="H724" s="4" t="inlineStr">
        <is>
          <t>Specialist consultation</t>
        </is>
      </c>
      <c r="I724" s="9">
        <f>IF($H724="","",IFERROR(INDEX('Settings'!$J$10:$J$39,MATCH($H724,'Settings'!$I$10:$I$39,0)),""))</f>
        <v/>
      </c>
      <c r="J724" s="6" t="n">
        <v>1</v>
      </c>
      <c r="K724" s="8" t="n">
        <v>350</v>
      </c>
      <c r="L724" s="8" t="n"/>
      <c r="M724" s="14">
        <f>IF($A724="","",$J724*$K724)</f>
        <v/>
      </c>
      <c r="N724" s="14">
        <f>IF($A724="","",$M724-$L724)</f>
        <v/>
      </c>
      <c r="O724" s="4" t="inlineStr">
        <is>
          <t>Insurance</t>
        </is>
      </c>
      <c r="P724" s="15">
        <f>IF($A724="","",DATE(YEAR($A724),MONTH($A724),1))</f>
        <v/>
      </c>
      <c r="Q724" s="16">
        <f>IF($H724="","",$J724*IFERROR(INDEX('Settings'!$L$10:$L$39,MATCH($H724,'Settings'!$I$10:$I$39,0)),0))</f>
        <v/>
      </c>
      <c r="R724" s="17">
        <f>IF($A724="","",$A724-WEEKDAY($A724,2)+1)</f>
        <v/>
      </c>
    </row>
    <row r="725">
      <c r="A725" s="5" t="n">
        <v>46263</v>
      </c>
      <c r="B725" s="4" t="inlineStr">
        <is>
          <t>Main branch</t>
        </is>
      </c>
      <c r="C725" s="4" t="inlineStr">
        <is>
          <t>Main 3</t>
        </is>
      </c>
      <c r="D725" s="4" t="inlineStr">
        <is>
          <t>Dr Ahmed Mansour</t>
        </is>
      </c>
      <c r="E725" s="4" t="inlineStr">
        <is>
          <t>P-3034</t>
        </is>
      </c>
      <c r="F725" s="4" t="inlineStr">
        <is>
          <t>Returning</t>
        </is>
      </c>
      <c r="G725" s="4" t="inlineStr">
        <is>
          <t>Instagram</t>
        </is>
      </c>
      <c r="H725" s="4" t="inlineStr">
        <is>
          <t>Follow-up visit</t>
        </is>
      </c>
      <c r="I725" s="9">
        <f>IF($H725="","",IFERROR(INDEX('Settings'!$J$10:$J$39,MATCH($H725,'Settings'!$I$10:$I$39,0)),""))</f>
        <v/>
      </c>
      <c r="J725" s="6" t="n">
        <v>1</v>
      </c>
      <c r="K725" s="8" t="n">
        <v>150</v>
      </c>
      <c r="L725" s="8" t="n"/>
      <c r="M725" s="14">
        <f>IF($A725="","",$J725*$K725)</f>
        <v/>
      </c>
      <c r="N725" s="14">
        <f>IF($A725="","",$M725-$L725)</f>
        <v/>
      </c>
      <c r="O725" s="4" t="inlineStr">
        <is>
          <t>Card</t>
        </is>
      </c>
      <c r="P725" s="15">
        <f>IF($A725="","",DATE(YEAR($A725),MONTH($A725),1))</f>
        <v/>
      </c>
      <c r="Q725" s="16">
        <f>IF($H725="","",$J725*IFERROR(INDEX('Settings'!$L$10:$L$39,MATCH($H725,'Settings'!$I$10:$I$39,0)),0))</f>
        <v/>
      </c>
      <c r="R725" s="17">
        <f>IF($A725="","",$A725-WEEKDAY($A725,2)+1)</f>
        <v/>
      </c>
    </row>
    <row r="726">
      <c r="A726" s="5" t="n">
        <v>46263</v>
      </c>
      <c r="B726" s="4" t="inlineStr">
        <is>
          <t>Main branch</t>
        </is>
      </c>
      <c r="C726" s="4" t="inlineStr">
        <is>
          <t>Main 4</t>
        </is>
      </c>
      <c r="D726" s="4" t="inlineStr">
        <is>
          <t>Dr Noura Al Subaie</t>
        </is>
      </c>
      <c r="E726" s="4" t="inlineStr">
        <is>
          <t>P-3476</t>
        </is>
      </c>
      <c r="F726" s="4" t="inlineStr">
        <is>
          <t>Returning</t>
        </is>
      </c>
      <c r="G726" s="4" t="inlineStr">
        <is>
          <t>Walk-in</t>
        </is>
      </c>
      <c r="H726" s="4" t="inlineStr">
        <is>
          <t>Laser session, face</t>
        </is>
      </c>
      <c r="I726" s="9">
        <f>IF($H726="","",IFERROR(INDEX('Settings'!$J$10:$J$39,MATCH($H726,'Settings'!$I$10:$I$39,0)),""))</f>
        <v/>
      </c>
      <c r="J726" s="6" t="n">
        <v>1</v>
      </c>
      <c r="K726" s="8" t="n">
        <v>600</v>
      </c>
      <c r="L726" s="8" t="n">
        <v>60</v>
      </c>
      <c r="M726" s="14">
        <f>IF($A726="","",$J726*$K726)</f>
        <v/>
      </c>
      <c r="N726" s="14">
        <f>IF($A726="","",$M726-$L726)</f>
        <v/>
      </c>
      <c r="O726" s="4" t="inlineStr">
        <is>
          <t>Cash</t>
        </is>
      </c>
      <c r="P726" s="15">
        <f>IF($A726="","",DATE(YEAR($A726),MONTH($A726),1))</f>
        <v/>
      </c>
      <c r="Q726" s="16">
        <f>IF($H726="","",$J726*IFERROR(INDEX('Settings'!$L$10:$L$39,MATCH($H726,'Settings'!$I$10:$I$39,0)),0))</f>
        <v/>
      </c>
      <c r="R726" s="17">
        <f>IF($A726="","",$A726-WEEKDAY($A726,2)+1)</f>
        <v/>
      </c>
    </row>
    <row r="727">
      <c r="A727" s="5" t="n">
        <v>46263</v>
      </c>
      <c r="B727" s="4" t="inlineStr">
        <is>
          <t>Main branch</t>
        </is>
      </c>
      <c r="C727" s="4" t="inlineStr">
        <is>
          <t>Main 4</t>
        </is>
      </c>
      <c r="D727" s="4" t="inlineStr">
        <is>
          <t>Dr Ahmed Mansour</t>
        </is>
      </c>
      <c r="E727" s="4" t="inlineStr">
        <is>
          <t>P-2421</t>
        </is>
      </c>
      <c r="F727" s="4" t="inlineStr">
        <is>
          <t>Returning</t>
        </is>
      </c>
      <c r="G727" s="4" t="inlineStr">
        <is>
          <t>Google</t>
        </is>
      </c>
      <c r="H727" s="4" t="inlineStr">
        <is>
          <t>Follow-up visit</t>
        </is>
      </c>
      <c r="I727" s="9">
        <f>IF($H727="","",IFERROR(INDEX('Settings'!$J$10:$J$39,MATCH($H727,'Settings'!$I$10:$I$39,0)),""))</f>
        <v/>
      </c>
      <c r="J727" s="6" t="n">
        <v>1</v>
      </c>
      <c r="K727" s="8" t="n">
        <v>150</v>
      </c>
      <c r="L727" s="8" t="n"/>
      <c r="M727" s="14">
        <f>IF($A727="","",$J727*$K727)</f>
        <v/>
      </c>
      <c r="N727" s="14">
        <f>IF($A727="","",$M727-$L727)</f>
        <v/>
      </c>
      <c r="O727" s="4" t="inlineStr">
        <is>
          <t>Insurance</t>
        </is>
      </c>
      <c r="P727" s="15">
        <f>IF($A727="","",DATE(YEAR($A727),MONTH($A727),1))</f>
        <v/>
      </c>
      <c r="Q727" s="16">
        <f>IF($H727="","",$J727*IFERROR(INDEX('Settings'!$L$10:$L$39,MATCH($H727,'Settings'!$I$10:$I$39,0)),0))</f>
        <v/>
      </c>
      <c r="R727" s="17">
        <f>IF($A727="","",$A727-WEEKDAY($A727,2)+1)</f>
        <v/>
      </c>
    </row>
    <row r="728">
      <c r="A728" s="5" t="n">
        <v>46263</v>
      </c>
      <c r="B728" s="4" t="inlineStr">
        <is>
          <t>Main branch</t>
        </is>
      </c>
      <c r="C728" s="4" t="inlineStr">
        <is>
          <t>Main 4</t>
        </is>
      </c>
      <c r="D728" s="4" t="inlineStr">
        <is>
          <t>Dr Sara Al Harbi</t>
        </is>
      </c>
      <c r="E728" s="4" t="inlineStr">
        <is>
          <t>P-3287</t>
        </is>
      </c>
      <c r="F728" s="4" t="inlineStr">
        <is>
          <t>Returning</t>
        </is>
      </c>
      <c r="G728" s="4" t="inlineStr">
        <is>
          <t>WhatsApp</t>
        </is>
      </c>
      <c r="H728" s="4" t="inlineStr">
        <is>
          <t>Skin tag removal</t>
        </is>
      </c>
      <c r="I728" s="9">
        <f>IF($H728="","",IFERROR(INDEX('Settings'!$J$10:$J$39,MATCH($H728,'Settings'!$I$10:$I$39,0)),""))</f>
        <v/>
      </c>
      <c r="J728" s="6" t="n">
        <v>1</v>
      </c>
      <c r="K728" s="8" t="n">
        <v>500</v>
      </c>
      <c r="L728" s="8" t="n"/>
      <c r="M728" s="14">
        <f>IF($A728="","",$J728*$K728)</f>
        <v/>
      </c>
      <c r="N728" s="14">
        <f>IF($A728="","",$M728-$L728)</f>
        <v/>
      </c>
      <c r="O728" s="4" t="inlineStr">
        <is>
          <t>Card</t>
        </is>
      </c>
      <c r="P728" s="15">
        <f>IF($A728="","",DATE(YEAR($A728),MONTH($A728),1))</f>
        <v/>
      </c>
      <c r="Q728" s="16">
        <f>IF($H728="","",$J728*IFERROR(INDEX('Settings'!$L$10:$L$39,MATCH($H728,'Settings'!$I$10:$I$39,0)),0))</f>
        <v/>
      </c>
      <c r="R728" s="17">
        <f>IF($A728="","",$A728-WEEKDAY($A728,2)+1)</f>
        <v/>
      </c>
    </row>
    <row r="729">
      <c r="A729" s="5" t="n">
        <v>46263</v>
      </c>
      <c r="B729" s="4" t="inlineStr">
        <is>
          <t>Main branch</t>
        </is>
      </c>
      <c r="C729" s="4" t="inlineStr">
        <is>
          <t>Main 4</t>
        </is>
      </c>
      <c r="D729" s="4" t="inlineStr">
        <is>
          <t>Dr Sara Al Harbi</t>
        </is>
      </c>
      <c r="E729" s="4" t="inlineStr">
        <is>
          <t>P-2507</t>
        </is>
      </c>
      <c r="F729" s="4" t="inlineStr">
        <is>
          <t>Returning</t>
        </is>
      </c>
      <c r="G729" s="4" t="inlineStr">
        <is>
          <t>Instagram</t>
        </is>
      </c>
      <c r="H729" s="4" t="inlineStr">
        <is>
          <t>Laser session, face</t>
        </is>
      </c>
      <c r="I729" s="9">
        <f>IF($H729="","",IFERROR(INDEX('Settings'!$J$10:$J$39,MATCH($H729,'Settings'!$I$10:$I$39,0)),""))</f>
        <v/>
      </c>
      <c r="J729" s="6" t="n">
        <v>1</v>
      </c>
      <c r="K729" s="8" t="n">
        <v>600</v>
      </c>
      <c r="L729" s="8" t="n"/>
      <c r="M729" s="14">
        <f>IF($A729="","",$J729*$K729)</f>
        <v/>
      </c>
      <c r="N729" s="14">
        <f>IF($A729="","",$M729-$L729)</f>
        <v/>
      </c>
      <c r="O729" s="4" t="inlineStr">
        <is>
          <t>Card</t>
        </is>
      </c>
      <c r="P729" s="15">
        <f>IF($A729="","",DATE(YEAR($A729),MONTH($A729),1))</f>
        <v/>
      </c>
      <c r="Q729" s="16">
        <f>IF($H729="","",$J729*IFERROR(INDEX('Settings'!$L$10:$L$39,MATCH($H729,'Settings'!$I$10:$I$39,0)),0))</f>
        <v/>
      </c>
      <c r="R729" s="17">
        <f>IF($A729="","",$A729-WEEKDAY($A729,2)+1)</f>
        <v/>
      </c>
    </row>
    <row r="730">
      <c r="A730" s="5" t="n">
        <v>46263</v>
      </c>
      <c r="B730" s="4" t="inlineStr">
        <is>
          <t>North branch</t>
        </is>
      </c>
      <c r="C730" s="4" t="inlineStr">
        <is>
          <t>North 1</t>
        </is>
      </c>
      <c r="D730" s="4" t="inlineStr">
        <is>
          <t>Dr Khaled Youssef</t>
        </is>
      </c>
      <c r="E730" s="4" t="inlineStr">
        <is>
          <t>P-3264</t>
        </is>
      </c>
      <c r="F730" s="4" t="inlineStr">
        <is>
          <t>Returning</t>
        </is>
      </c>
      <c r="G730" s="4" t="inlineStr">
        <is>
          <t>Walk-in</t>
        </is>
      </c>
      <c r="H730" s="4" t="inlineStr">
        <is>
          <t>Laser session, face</t>
        </is>
      </c>
      <c r="I730" s="9">
        <f>IF($H730="","",IFERROR(INDEX('Settings'!$J$10:$J$39,MATCH($H730,'Settings'!$I$10:$I$39,0)),""))</f>
        <v/>
      </c>
      <c r="J730" s="6" t="n">
        <v>1</v>
      </c>
      <c r="K730" s="8" t="n">
        <v>600</v>
      </c>
      <c r="L730" s="8" t="n"/>
      <c r="M730" s="14">
        <f>IF($A730="","",$J730*$K730)</f>
        <v/>
      </c>
      <c r="N730" s="14">
        <f>IF($A730="","",$M730-$L730)</f>
        <v/>
      </c>
      <c r="O730" s="4" t="inlineStr">
        <is>
          <t>Card</t>
        </is>
      </c>
      <c r="P730" s="15">
        <f>IF($A730="","",DATE(YEAR($A730),MONTH($A730),1))</f>
        <v/>
      </c>
      <c r="Q730" s="16">
        <f>IF($H730="","",$J730*IFERROR(INDEX('Settings'!$L$10:$L$39,MATCH($H730,'Settings'!$I$10:$I$39,0)),0))</f>
        <v/>
      </c>
      <c r="R730" s="17">
        <f>IF($A730="","",$A730-WEEKDAY($A730,2)+1)</f>
        <v/>
      </c>
    </row>
    <row r="731">
      <c r="A731" s="5" t="n">
        <v>46263</v>
      </c>
      <c r="B731" s="4" t="inlineStr">
        <is>
          <t>North branch</t>
        </is>
      </c>
      <c r="C731" s="4" t="inlineStr">
        <is>
          <t>North 1</t>
        </is>
      </c>
      <c r="D731" s="4" t="inlineStr">
        <is>
          <t>Dr Mohamed Adel</t>
        </is>
      </c>
      <c r="E731" s="4" t="inlineStr">
        <is>
          <t>P-2112</t>
        </is>
      </c>
      <c r="F731" s="4" t="inlineStr">
        <is>
          <t>Returning</t>
        </is>
      </c>
      <c r="G731" s="4" t="inlineStr">
        <is>
          <t>Walk-in</t>
        </is>
      </c>
      <c r="H731" s="4" t="inlineStr">
        <is>
          <t>Filler injection</t>
        </is>
      </c>
      <c r="I731" s="9">
        <f>IF($H731="","",IFERROR(INDEX('Settings'!$J$10:$J$39,MATCH($H731,'Settings'!$I$10:$I$39,0)),""))</f>
        <v/>
      </c>
      <c r="J731" s="6" t="n">
        <v>1</v>
      </c>
      <c r="K731" s="8" t="n">
        <v>1800</v>
      </c>
      <c r="L731" s="8" t="n"/>
      <c r="M731" s="14">
        <f>IF($A731="","",$J731*$K731)</f>
        <v/>
      </c>
      <c r="N731" s="14">
        <f>IF($A731="","",$M731-$L731)</f>
        <v/>
      </c>
      <c r="O731" s="4" t="inlineStr">
        <is>
          <t>Insurance</t>
        </is>
      </c>
      <c r="P731" s="15">
        <f>IF($A731="","",DATE(YEAR($A731),MONTH($A731),1))</f>
        <v/>
      </c>
      <c r="Q731" s="16">
        <f>IF($H731="","",$J731*IFERROR(INDEX('Settings'!$L$10:$L$39,MATCH($H731,'Settings'!$I$10:$I$39,0)),0))</f>
        <v/>
      </c>
      <c r="R731" s="17">
        <f>IF($A731="","",$A731-WEEKDAY($A731,2)+1)</f>
        <v/>
      </c>
    </row>
    <row r="732">
      <c r="A732" s="5" t="n">
        <v>46263</v>
      </c>
      <c r="B732" s="4" t="inlineStr">
        <is>
          <t>North branch</t>
        </is>
      </c>
      <c r="C732" s="4" t="inlineStr">
        <is>
          <t>North 1</t>
        </is>
      </c>
      <c r="D732" s="4" t="inlineStr">
        <is>
          <t>Dr Khaled Youssef</t>
        </is>
      </c>
      <c r="E732" s="4" t="inlineStr">
        <is>
          <t>P-3217</t>
        </is>
      </c>
      <c r="F732" s="4" t="inlineStr">
        <is>
          <t>Returning</t>
        </is>
      </c>
      <c r="G732" s="4" t="inlineStr">
        <is>
          <t>Referral</t>
        </is>
      </c>
      <c r="H732" s="4" t="inlineStr">
        <is>
          <t>Vitamin C serum</t>
        </is>
      </c>
      <c r="I732" s="9">
        <f>IF($H732="","",IFERROR(INDEX('Settings'!$J$10:$J$39,MATCH($H732,'Settings'!$I$10:$I$39,0)),""))</f>
        <v/>
      </c>
      <c r="J732" s="6" t="n">
        <v>2</v>
      </c>
      <c r="K732" s="8" t="n">
        <v>220</v>
      </c>
      <c r="L732" s="8" t="n"/>
      <c r="M732" s="14">
        <f>IF($A732="","",$J732*$K732)</f>
        <v/>
      </c>
      <c r="N732" s="14">
        <f>IF($A732="","",$M732-$L732)</f>
        <v/>
      </c>
      <c r="O732" s="4" t="inlineStr">
        <is>
          <t>Cash</t>
        </is>
      </c>
      <c r="P732" s="15">
        <f>IF($A732="","",DATE(YEAR($A732),MONTH($A732),1))</f>
        <v/>
      </c>
      <c r="Q732" s="16">
        <f>IF($H732="","",$J732*IFERROR(INDEX('Settings'!$L$10:$L$39,MATCH($H732,'Settings'!$I$10:$I$39,0)),0))</f>
        <v/>
      </c>
      <c r="R732" s="17">
        <f>IF($A732="","",$A732-WEEKDAY($A732,2)+1)</f>
        <v/>
      </c>
    </row>
    <row r="733">
      <c r="A733" s="5" t="n">
        <v>46263</v>
      </c>
      <c r="B733" s="4" t="inlineStr">
        <is>
          <t>North branch</t>
        </is>
      </c>
      <c r="C733" s="4" t="inlineStr">
        <is>
          <t>North 1</t>
        </is>
      </c>
      <c r="D733" s="4" t="inlineStr">
        <is>
          <t>Dr Mohamed Adel</t>
        </is>
      </c>
      <c r="E733" s="4" t="inlineStr">
        <is>
          <t>P-2765</t>
        </is>
      </c>
      <c r="F733" s="4" t="inlineStr">
        <is>
          <t>New</t>
        </is>
      </c>
      <c r="G733" s="4" t="inlineStr">
        <is>
          <t>Walk-in</t>
        </is>
      </c>
      <c r="H733" s="4" t="inlineStr">
        <is>
          <t>Botulinum toxin</t>
        </is>
      </c>
      <c r="I733" s="9">
        <f>IF($H733="","",IFERROR(INDEX('Settings'!$J$10:$J$39,MATCH($H733,'Settings'!$I$10:$I$39,0)),""))</f>
        <v/>
      </c>
      <c r="J733" s="6" t="n">
        <v>1</v>
      </c>
      <c r="K733" s="8" t="n">
        <v>1500</v>
      </c>
      <c r="L733" s="8" t="n"/>
      <c r="M733" s="14">
        <f>IF($A733="","",$J733*$K733)</f>
        <v/>
      </c>
      <c r="N733" s="14">
        <f>IF($A733="","",$M733-$L733)</f>
        <v/>
      </c>
      <c r="O733" s="4" t="inlineStr">
        <is>
          <t>Payment link</t>
        </is>
      </c>
      <c r="P733" s="15">
        <f>IF($A733="","",DATE(YEAR($A733),MONTH($A733),1))</f>
        <v/>
      </c>
      <c r="Q733" s="16">
        <f>IF($H733="","",$J733*IFERROR(INDEX('Settings'!$L$10:$L$39,MATCH($H733,'Settings'!$I$10:$I$39,0)),0))</f>
        <v/>
      </c>
      <c r="R733" s="17">
        <f>IF($A733="","",$A733-WEEKDAY($A733,2)+1)</f>
        <v/>
      </c>
    </row>
    <row r="734">
      <c r="A734" s="5" t="n">
        <v>46263</v>
      </c>
      <c r="B734" s="4" t="inlineStr">
        <is>
          <t>North branch</t>
        </is>
      </c>
      <c r="C734" s="4" t="inlineStr">
        <is>
          <t>North 1</t>
        </is>
      </c>
      <c r="D734" s="4" t="inlineStr">
        <is>
          <t>Dr Mohamed Adel</t>
        </is>
      </c>
      <c r="E734" s="4" t="inlineStr">
        <is>
          <t>P-3438</t>
        </is>
      </c>
      <c r="F734" s="4" t="inlineStr">
        <is>
          <t>Returning</t>
        </is>
      </c>
      <c r="G734" s="4" t="inlineStr">
        <is>
          <t>Instagram</t>
        </is>
      </c>
      <c r="H734" s="4" t="inlineStr">
        <is>
          <t>Laser session, face</t>
        </is>
      </c>
      <c r="I734" s="9">
        <f>IF($H734="","",IFERROR(INDEX('Settings'!$J$10:$J$39,MATCH($H734,'Settings'!$I$10:$I$39,0)),""))</f>
        <v/>
      </c>
      <c r="J734" s="6" t="n">
        <v>1</v>
      </c>
      <c r="K734" s="8" t="n">
        <v>600</v>
      </c>
      <c r="L734" s="8" t="n"/>
      <c r="M734" s="14">
        <f>IF($A734="","",$J734*$K734)</f>
        <v/>
      </c>
      <c r="N734" s="14">
        <f>IF($A734="","",$M734-$L734)</f>
        <v/>
      </c>
      <c r="O734" s="4" t="inlineStr">
        <is>
          <t>Card</t>
        </is>
      </c>
      <c r="P734" s="15">
        <f>IF($A734="","",DATE(YEAR($A734),MONTH($A734),1))</f>
        <v/>
      </c>
      <c r="Q734" s="16">
        <f>IF($H734="","",$J734*IFERROR(INDEX('Settings'!$L$10:$L$39,MATCH($H734,'Settings'!$I$10:$I$39,0)),0))</f>
        <v/>
      </c>
      <c r="R734" s="17">
        <f>IF($A734="","",$A734-WEEKDAY($A734,2)+1)</f>
        <v/>
      </c>
    </row>
    <row r="735">
      <c r="A735" s="5" t="n">
        <v>46263</v>
      </c>
      <c r="B735" s="4" t="inlineStr">
        <is>
          <t>North branch</t>
        </is>
      </c>
      <c r="C735" s="4" t="inlineStr">
        <is>
          <t>North 1</t>
        </is>
      </c>
      <c r="D735" s="4" t="inlineStr">
        <is>
          <t>Dr Mohamed Adel</t>
        </is>
      </c>
      <c r="E735" s="4" t="inlineStr">
        <is>
          <t>P-3432</t>
        </is>
      </c>
      <c r="F735" s="4" t="inlineStr">
        <is>
          <t>Returning</t>
        </is>
      </c>
      <c r="G735" s="4" t="inlineStr">
        <is>
          <t>Walk-in</t>
        </is>
      </c>
      <c r="H735" s="4" t="inlineStr">
        <is>
          <t>Botulinum toxin</t>
        </is>
      </c>
      <c r="I735" s="9">
        <f>IF($H735="","",IFERROR(INDEX('Settings'!$J$10:$J$39,MATCH($H735,'Settings'!$I$10:$I$39,0)),""))</f>
        <v/>
      </c>
      <c r="J735" s="6" t="n">
        <v>1</v>
      </c>
      <c r="K735" s="8" t="n">
        <v>1500</v>
      </c>
      <c r="L735" s="8" t="n"/>
      <c r="M735" s="14">
        <f>IF($A735="","",$J735*$K735)</f>
        <v/>
      </c>
      <c r="N735" s="14">
        <f>IF($A735="","",$M735-$L735)</f>
        <v/>
      </c>
      <c r="O735" s="4" t="inlineStr">
        <is>
          <t>Cash</t>
        </is>
      </c>
      <c r="P735" s="15">
        <f>IF($A735="","",DATE(YEAR($A735),MONTH($A735),1))</f>
        <v/>
      </c>
      <c r="Q735" s="16">
        <f>IF($H735="","",$J735*IFERROR(INDEX('Settings'!$L$10:$L$39,MATCH($H735,'Settings'!$I$10:$I$39,0)),0))</f>
        <v/>
      </c>
      <c r="R735" s="17">
        <f>IF($A735="","",$A735-WEEKDAY($A735,2)+1)</f>
        <v/>
      </c>
    </row>
    <row r="736">
      <c r="A736" s="5" t="n">
        <v>46263</v>
      </c>
      <c r="B736" s="4" t="inlineStr">
        <is>
          <t>North branch</t>
        </is>
      </c>
      <c r="C736" s="4" t="inlineStr">
        <is>
          <t>North 1</t>
        </is>
      </c>
      <c r="D736" s="4" t="inlineStr">
        <is>
          <t>Dr Khaled Youssef</t>
        </is>
      </c>
      <c r="E736" s="4" t="inlineStr">
        <is>
          <t>P-3197</t>
        </is>
      </c>
      <c r="F736" s="4" t="inlineStr">
        <is>
          <t>Returning</t>
        </is>
      </c>
      <c r="G736" s="4" t="inlineStr">
        <is>
          <t>Walk-in</t>
        </is>
      </c>
      <c r="H736" s="4" t="inlineStr">
        <is>
          <t>Specialist consultation</t>
        </is>
      </c>
      <c r="I736" s="9">
        <f>IF($H736="","",IFERROR(INDEX('Settings'!$J$10:$J$39,MATCH($H736,'Settings'!$I$10:$I$39,0)),""))</f>
        <v/>
      </c>
      <c r="J736" s="6" t="n">
        <v>1</v>
      </c>
      <c r="K736" s="8" t="n">
        <v>350</v>
      </c>
      <c r="L736" s="8" t="n"/>
      <c r="M736" s="14">
        <f>IF($A736="","",$J736*$K736)</f>
        <v/>
      </c>
      <c r="N736" s="14">
        <f>IF($A736="","",$M736-$L736)</f>
        <v/>
      </c>
      <c r="O736" s="4" t="inlineStr">
        <is>
          <t>Card</t>
        </is>
      </c>
      <c r="P736" s="15">
        <f>IF($A736="","",DATE(YEAR($A736),MONTH($A736),1))</f>
        <v/>
      </c>
      <c r="Q736" s="16">
        <f>IF($H736="","",$J736*IFERROR(INDEX('Settings'!$L$10:$L$39,MATCH($H736,'Settings'!$I$10:$I$39,0)),0))</f>
        <v/>
      </c>
      <c r="R736" s="17">
        <f>IF($A736="","",$A736-WEEKDAY($A736,2)+1)</f>
        <v/>
      </c>
    </row>
    <row r="737">
      <c r="A737" s="5" t="n">
        <v>46263</v>
      </c>
      <c r="B737" s="4" t="inlineStr">
        <is>
          <t>North branch</t>
        </is>
      </c>
      <c r="C737" s="4" t="inlineStr">
        <is>
          <t>North 2</t>
        </is>
      </c>
      <c r="D737" s="4" t="inlineStr">
        <is>
          <t>Dr Khaled Youssef</t>
        </is>
      </c>
      <c r="E737" s="4" t="inlineStr">
        <is>
          <t>P-2550</t>
        </is>
      </c>
      <c r="F737" s="4" t="inlineStr">
        <is>
          <t>Returning</t>
        </is>
      </c>
      <c r="G737" s="4" t="inlineStr">
        <is>
          <t>Instagram</t>
        </is>
      </c>
      <c r="H737" s="4" t="inlineStr">
        <is>
          <t>Sunscreen cream</t>
        </is>
      </c>
      <c r="I737" s="9">
        <f>IF($H737="","",IFERROR(INDEX('Settings'!$J$10:$J$39,MATCH($H737,'Settings'!$I$10:$I$39,0)),""))</f>
        <v/>
      </c>
      <c r="J737" s="6" t="n">
        <v>1</v>
      </c>
      <c r="K737" s="8" t="n">
        <v>120</v>
      </c>
      <c r="L737" s="8" t="n"/>
      <c r="M737" s="14">
        <f>IF($A737="","",$J737*$K737)</f>
        <v/>
      </c>
      <c r="N737" s="14">
        <f>IF($A737="","",$M737-$L737)</f>
        <v/>
      </c>
      <c r="O737" s="4" t="inlineStr">
        <is>
          <t>Cash</t>
        </is>
      </c>
      <c r="P737" s="15">
        <f>IF($A737="","",DATE(YEAR($A737),MONTH($A737),1))</f>
        <v/>
      </c>
      <c r="Q737" s="16">
        <f>IF($H737="","",$J737*IFERROR(INDEX('Settings'!$L$10:$L$39,MATCH($H737,'Settings'!$I$10:$I$39,0)),0))</f>
        <v/>
      </c>
      <c r="R737" s="17">
        <f>IF($A737="","",$A737-WEEKDAY($A737,2)+1)</f>
        <v/>
      </c>
    </row>
    <row r="738">
      <c r="A738" s="5" t="n">
        <v>46264</v>
      </c>
      <c r="B738" s="4" t="inlineStr">
        <is>
          <t>Main branch</t>
        </is>
      </c>
      <c r="C738" s="4" t="inlineStr">
        <is>
          <t>Main 1</t>
        </is>
      </c>
      <c r="D738" s="4" t="inlineStr">
        <is>
          <t>Dr Ahmed Mansour</t>
        </is>
      </c>
      <c r="E738" s="4" t="inlineStr">
        <is>
          <t>P-2701</t>
        </is>
      </c>
      <c r="F738" s="4" t="inlineStr">
        <is>
          <t>Returning</t>
        </is>
      </c>
      <c r="G738" s="4" t="inlineStr">
        <is>
          <t>Referral</t>
        </is>
      </c>
      <c r="H738" s="4" t="inlineStr">
        <is>
          <t>Laser session, body</t>
        </is>
      </c>
      <c r="I738" s="9">
        <f>IF($H738="","",IFERROR(INDEX('Settings'!$J$10:$J$39,MATCH($H738,'Settings'!$I$10:$I$39,0)),""))</f>
        <v/>
      </c>
      <c r="J738" s="6" t="n">
        <v>1</v>
      </c>
      <c r="K738" s="8" t="n">
        <v>1200</v>
      </c>
      <c r="L738" s="8" t="n"/>
      <c r="M738" s="14">
        <f>IF($A738="","",$J738*$K738)</f>
        <v/>
      </c>
      <c r="N738" s="14">
        <f>IF($A738="","",$M738-$L738)</f>
        <v/>
      </c>
      <c r="O738" s="4" t="inlineStr">
        <is>
          <t>Transfer</t>
        </is>
      </c>
      <c r="P738" s="15">
        <f>IF($A738="","",DATE(YEAR($A738),MONTH($A738),1))</f>
        <v/>
      </c>
      <c r="Q738" s="16">
        <f>IF($H738="","",$J738*IFERROR(INDEX('Settings'!$L$10:$L$39,MATCH($H738,'Settings'!$I$10:$I$39,0)),0))</f>
        <v/>
      </c>
      <c r="R738" s="17">
        <f>IF($A738="","",$A738-WEEKDAY($A738,2)+1)</f>
        <v/>
      </c>
    </row>
    <row r="739">
      <c r="A739" s="5" t="n">
        <v>46264</v>
      </c>
      <c r="B739" s="4" t="inlineStr">
        <is>
          <t>Main branch</t>
        </is>
      </c>
      <c r="C739" s="4" t="inlineStr">
        <is>
          <t>Main 1</t>
        </is>
      </c>
      <c r="D739" s="4" t="inlineStr">
        <is>
          <t>Dr Ahmed Mansour</t>
        </is>
      </c>
      <c r="E739" s="4" t="inlineStr">
        <is>
          <t>P-3421</t>
        </is>
      </c>
      <c r="F739" s="4" t="inlineStr">
        <is>
          <t>Returning</t>
        </is>
      </c>
      <c r="G739" s="4" t="inlineStr">
        <is>
          <t>Instagram</t>
        </is>
      </c>
      <c r="H739" s="4" t="inlineStr">
        <is>
          <t>Laser session, body</t>
        </is>
      </c>
      <c r="I739" s="9">
        <f>IF($H739="","",IFERROR(INDEX('Settings'!$J$10:$J$39,MATCH($H739,'Settings'!$I$10:$I$39,0)),""))</f>
        <v/>
      </c>
      <c r="J739" s="6" t="n">
        <v>1</v>
      </c>
      <c r="K739" s="8" t="n">
        <v>1200</v>
      </c>
      <c r="L739" s="8" t="n"/>
      <c r="M739" s="14">
        <f>IF($A739="","",$J739*$K739)</f>
        <v/>
      </c>
      <c r="N739" s="14">
        <f>IF($A739="","",$M739-$L739)</f>
        <v/>
      </c>
      <c r="O739" s="4" t="inlineStr">
        <is>
          <t>Cash</t>
        </is>
      </c>
      <c r="P739" s="15">
        <f>IF($A739="","",DATE(YEAR($A739),MONTH($A739),1))</f>
        <v/>
      </c>
      <c r="Q739" s="16">
        <f>IF($H739="","",$J739*IFERROR(INDEX('Settings'!$L$10:$L$39,MATCH($H739,'Settings'!$I$10:$I$39,0)),0))</f>
        <v/>
      </c>
      <c r="R739" s="17">
        <f>IF($A739="","",$A739-WEEKDAY($A739,2)+1)</f>
        <v/>
      </c>
    </row>
    <row r="740">
      <c r="A740" s="5" t="n">
        <v>46264</v>
      </c>
      <c r="B740" s="4" t="inlineStr">
        <is>
          <t>Main branch</t>
        </is>
      </c>
      <c r="C740" s="4" t="inlineStr">
        <is>
          <t>Main 1</t>
        </is>
      </c>
      <c r="D740" s="4" t="inlineStr">
        <is>
          <t>Dr Ahmed Mansour</t>
        </is>
      </c>
      <c r="E740" s="4" t="inlineStr">
        <is>
          <t>P-2291</t>
        </is>
      </c>
      <c r="F740" s="4" t="inlineStr">
        <is>
          <t>Returning</t>
        </is>
      </c>
      <c r="G740" s="4" t="inlineStr">
        <is>
          <t>Google</t>
        </is>
      </c>
      <c r="H740" s="4" t="inlineStr">
        <is>
          <t>Specialist consultation</t>
        </is>
      </c>
      <c r="I740" s="9">
        <f>IF($H740="","",IFERROR(INDEX('Settings'!$J$10:$J$39,MATCH($H740,'Settings'!$I$10:$I$39,0)),""))</f>
        <v/>
      </c>
      <c r="J740" s="6" t="n">
        <v>1</v>
      </c>
      <c r="K740" s="8" t="n">
        <v>350</v>
      </c>
      <c r="L740" s="8" t="n"/>
      <c r="M740" s="14">
        <f>IF($A740="","",$J740*$K740)</f>
        <v/>
      </c>
      <c r="N740" s="14">
        <f>IF($A740="","",$M740-$L740)</f>
        <v/>
      </c>
      <c r="O740" s="4" t="inlineStr">
        <is>
          <t>Card</t>
        </is>
      </c>
      <c r="P740" s="15">
        <f>IF($A740="","",DATE(YEAR($A740),MONTH($A740),1))</f>
        <v/>
      </c>
      <c r="Q740" s="16">
        <f>IF($H740="","",$J740*IFERROR(INDEX('Settings'!$L$10:$L$39,MATCH($H740,'Settings'!$I$10:$I$39,0)),0))</f>
        <v/>
      </c>
      <c r="R740" s="17">
        <f>IF($A740="","",$A740-WEEKDAY($A740,2)+1)</f>
        <v/>
      </c>
    </row>
    <row r="741">
      <c r="A741" s="5" t="n">
        <v>46264</v>
      </c>
      <c r="B741" s="4" t="inlineStr">
        <is>
          <t>Main branch</t>
        </is>
      </c>
      <c r="C741" s="4" t="inlineStr">
        <is>
          <t>Main 2</t>
        </is>
      </c>
      <c r="D741" s="4" t="inlineStr">
        <is>
          <t>Dr Sara Al Harbi</t>
        </is>
      </c>
      <c r="E741" s="4" t="inlineStr">
        <is>
          <t>P-2328</t>
        </is>
      </c>
      <c r="F741" s="4" t="inlineStr">
        <is>
          <t>Returning</t>
        </is>
      </c>
      <c r="G741" s="4" t="inlineStr">
        <is>
          <t>Instagram</t>
        </is>
      </c>
      <c r="H741" s="4" t="inlineStr">
        <is>
          <t>Follow-up visit</t>
        </is>
      </c>
      <c r="I741" s="9">
        <f>IF($H741="","",IFERROR(INDEX('Settings'!$J$10:$J$39,MATCH($H741,'Settings'!$I$10:$I$39,0)),""))</f>
        <v/>
      </c>
      <c r="J741" s="6" t="n">
        <v>1</v>
      </c>
      <c r="K741" s="8" t="n">
        <v>150</v>
      </c>
      <c r="L741" s="8" t="n"/>
      <c r="M741" s="14">
        <f>IF($A741="","",$J741*$K741)</f>
        <v/>
      </c>
      <c r="N741" s="14">
        <f>IF($A741="","",$M741-$L741)</f>
        <v/>
      </c>
      <c r="O741" s="4" t="inlineStr">
        <is>
          <t>Card</t>
        </is>
      </c>
      <c r="P741" s="15">
        <f>IF($A741="","",DATE(YEAR($A741),MONTH($A741),1))</f>
        <v/>
      </c>
      <c r="Q741" s="16">
        <f>IF($H741="","",$J741*IFERROR(INDEX('Settings'!$L$10:$L$39,MATCH($H741,'Settings'!$I$10:$I$39,0)),0))</f>
        <v/>
      </c>
      <c r="R741" s="17">
        <f>IF($A741="","",$A741-WEEKDAY($A741,2)+1)</f>
        <v/>
      </c>
    </row>
    <row r="742">
      <c r="A742" s="5" t="n">
        <v>46264</v>
      </c>
      <c r="B742" s="4" t="inlineStr">
        <is>
          <t>Main branch</t>
        </is>
      </c>
      <c r="C742" s="4" t="inlineStr">
        <is>
          <t>Main 3</t>
        </is>
      </c>
      <c r="D742" s="4" t="inlineStr">
        <is>
          <t>Dr Noura Al Subaie</t>
        </is>
      </c>
      <c r="E742" s="4" t="inlineStr">
        <is>
          <t>P-2924</t>
        </is>
      </c>
      <c r="F742" s="4" t="inlineStr">
        <is>
          <t>Returning</t>
        </is>
      </c>
      <c r="G742" s="4" t="inlineStr">
        <is>
          <t>Google</t>
        </is>
      </c>
      <c r="H742" s="4" t="inlineStr">
        <is>
          <t>Filler injection</t>
        </is>
      </c>
      <c r="I742" s="9">
        <f>IF($H742="","",IFERROR(INDEX('Settings'!$J$10:$J$39,MATCH($H742,'Settings'!$I$10:$I$39,0)),""))</f>
        <v/>
      </c>
      <c r="J742" s="6" t="n">
        <v>1</v>
      </c>
      <c r="K742" s="8" t="n">
        <v>1800</v>
      </c>
      <c r="L742" s="8" t="n"/>
      <c r="M742" s="14">
        <f>IF($A742="","",$J742*$K742)</f>
        <v/>
      </c>
      <c r="N742" s="14">
        <f>IF($A742="","",$M742-$L742)</f>
        <v/>
      </c>
      <c r="O742" s="4" t="inlineStr">
        <is>
          <t>Insurance</t>
        </is>
      </c>
      <c r="P742" s="15">
        <f>IF($A742="","",DATE(YEAR($A742),MONTH($A742),1))</f>
        <v/>
      </c>
      <c r="Q742" s="16">
        <f>IF($H742="","",$J742*IFERROR(INDEX('Settings'!$L$10:$L$39,MATCH($H742,'Settings'!$I$10:$I$39,0)),0))</f>
        <v/>
      </c>
      <c r="R742" s="17">
        <f>IF($A742="","",$A742-WEEKDAY($A742,2)+1)</f>
        <v/>
      </c>
    </row>
    <row r="743">
      <c r="A743" s="5" t="n">
        <v>46264</v>
      </c>
      <c r="B743" s="4" t="inlineStr">
        <is>
          <t>Main branch</t>
        </is>
      </c>
      <c r="C743" s="4" t="inlineStr">
        <is>
          <t>Main 3</t>
        </is>
      </c>
      <c r="D743" s="4" t="inlineStr">
        <is>
          <t>Dr Noura Al Subaie</t>
        </is>
      </c>
      <c r="E743" s="4" t="inlineStr">
        <is>
          <t>P-2844</t>
        </is>
      </c>
      <c r="F743" s="4" t="inlineStr">
        <is>
          <t>Returning</t>
        </is>
      </c>
      <c r="G743" s="4" t="inlineStr">
        <is>
          <t>Google</t>
        </is>
      </c>
      <c r="H743" s="4" t="inlineStr">
        <is>
          <t>Specialist consultation</t>
        </is>
      </c>
      <c r="I743" s="9">
        <f>IF($H743="","",IFERROR(INDEX('Settings'!$J$10:$J$39,MATCH($H743,'Settings'!$I$10:$I$39,0)),""))</f>
        <v/>
      </c>
      <c r="J743" s="6" t="n">
        <v>1</v>
      </c>
      <c r="K743" s="8" t="n">
        <v>350</v>
      </c>
      <c r="L743" s="8" t="n"/>
      <c r="M743" s="14">
        <f>IF($A743="","",$J743*$K743)</f>
        <v/>
      </c>
      <c r="N743" s="14">
        <f>IF($A743="","",$M743-$L743)</f>
        <v/>
      </c>
      <c r="O743" s="4" t="inlineStr">
        <is>
          <t>Card</t>
        </is>
      </c>
      <c r="P743" s="15">
        <f>IF($A743="","",DATE(YEAR($A743),MONTH($A743),1))</f>
        <v/>
      </c>
      <c r="Q743" s="16">
        <f>IF($H743="","",$J743*IFERROR(INDEX('Settings'!$L$10:$L$39,MATCH($H743,'Settings'!$I$10:$I$39,0)),0))</f>
        <v/>
      </c>
      <c r="R743" s="17">
        <f>IF($A743="","",$A743-WEEKDAY($A743,2)+1)</f>
        <v/>
      </c>
    </row>
    <row r="744">
      <c r="A744" s="5" t="n">
        <v>46264</v>
      </c>
      <c r="B744" s="4" t="inlineStr">
        <is>
          <t>North branch</t>
        </is>
      </c>
      <c r="C744" s="4" t="inlineStr">
        <is>
          <t>North 1</t>
        </is>
      </c>
      <c r="D744" s="4" t="inlineStr">
        <is>
          <t>Dr Layla Al Qahtani</t>
        </is>
      </c>
      <c r="E744" s="4" t="inlineStr">
        <is>
          <t>P-2999</t>
        </is>
      </c>
      <c r="F744" s="4" t="inlineStr">
        <is>
          <t>Returning</t>
        </is>
      </c>
      <c r="G744" s="4" t="inlineStr">
        <is>
          <t>WhatsApp</t>
        </is>
      </c>
      <c r="H744" s="4" t="inlineStr">
        <is>
          <t>Physiotherapy session</t>
        </is>
      </c>
      <c r="I744" s="9">
        <f>IF($H744="","",IFERROR(INDEX('Settings'!$J$10:$J$39,MATCH($H744,'Settings'!$I$10:$I$39,0)),""))</f>
        <v/>
      </c>
      <c r="J744" s="6" t="n">
        <v>1</v>
      </c>
      <c r="K744" s="8" t="n">
        <v>300</v>
      </c>
      <c r="L744" s="8" t="n"/>
      <c r="M744" s="14">
        <f>IF($A744="","",$J744*$K744)</f>
        <v/>
      </c>
      <c r="N744" s="14">
        <f>IF($A744="","",$M744-$L744)</f>
        <v/>
      </c>
      <c r="O744" s="4" t="inlineStr">
        <is>
          <t>Cash</t>
        </is>
      </c>
      <c r="P744" s="15">
        <f>IF($A744="","",DATE(YEAR($A744),MONTH($A744),1))</f>
        <v/>
      </c>
      <c r="Q744" s="16">
        <f>IF($H744="","",$J744*IFERROR(INDEX('Settings'!$L$10:$L$39,MATCH($H744,'Settings'!$I$10:$I$39,0)),0))</f>
        <v/>
      </c>
      <c r="R744" s="17">
        <f>IF($A744="","",$A744-WEEKDAY($A744,2)+1)</f>
        <v/>
      </c>
    </row>
    <row r="745">
      <c r="A745" s="5" t="n">
        <v>46264</v>
      </c>
      <c r="B745" s="4" t="inlineStr">
        <is>
          <t>North branch</t>
        </is>
      </c>
      <c r="C745" s="4" t="inlineStr">
        <is>
          <t>North 1</t>
        </is>
      </c>
      <c r="D745" s="4" t="inlineStr">
        <is>
          <t>Dr Khaled Youssef</t>
        </is>
      </c>
      <c r="E745" s="4" t="inlineStr">
        <is>
          <t>P-2985</t>
        </is>
      </c>
      <c r="F745" s="4" t="inlineStr">
        <is>
          <t>New</t>
        </is>
      </c>
      <c r="G745" s="4" t="inlineStr">
        <is>
          <t>Walk-in</t>
        </is>
      </c>
      <c r="H745" s="4" t="inlineStr">
        <is>
          <t>Laser session, face</t>
        </is>
      </c>
      <c r="I745" s="9">
        <f>IF($H745="","",IFERROR(INDEX('Settings'!$J$10:$J$39,MATCH($H745,'Settings'!$I$10:$I$39,0)),""))</f>
        <v/>
      </c>
      <c r="J745" s="6" t="n">
        <v>1</v>
      </c>
      <c r="K745" s="8" t="n">
        <v>600</v>
      </c>
      <c r="L745" s="8" t="n"/>
      <c r="M745" s="14">
        <f>IF($A745="","",$J745*$K745)</f>
        <v/>
      </c>
      <c r="N745" s="14">
        <f>IF($A745="","",$M745-$L745)</f>
        <v/>
      </c>
      <c r="O745" s="4" t="inlineStr">
        <is>
          <t>Insurance</t>
        </is>
      </c>
      <c r="P745" s="15">
        <f>IF($A745="","",DATE(YEAR($A745),MONTH($A745),1))</f>
        <v/>
      </c>
      <c r="Q745" s="16">
        <f>IF($H745="","",$J745*IFERROR(INDEX('Settings'!$L$10:$L$39,MATCH($H745,'Settings'!$I$10:$I$39,0)),0))</f>
        <v/>
      </c>
      <c r="R745" s="17">
        <f>IF($A745="","",$A745-WEEKDAY($A745,2)+1)</f>
        <v/>
      </c>
    </row>
    <row r="746">
      <c r="A746" s="5" t="n">
        <v>46264</v>
      </c>
      <c r="B746" s="4" t="inlineStr">
        <is>
          <t>North branch</t>
        </is>
      </c>
      <c r="C746" s="4" t="inlineStr">
        <is>
          <t>North 1</t>
        </is>
      </c>
      <c r="D746" s="4" t="inlineStr">
        <is>
          <t>Dr Layla Al Qahtani</t>
        </is>
      </c>
      <c r="E746" s="4" t="inlineStr">
        <is>
          <t>P-3470</t>
        </is>
      </c>
      <c r="F746" s="4" t="inlineStr">
        <is>
          <t>Returning</t>
        </is>
      </c>
      <c r="G746" s="4" t="inlineStr">
        <is>
          <t>Google</t>
        </is>
      </c>
      <c r="H746" s="4" t="inlineStr">
        <is>
          <t>Follow-up visit</t>
        </is>
      </c>
      <c r="I746" s="9">
        <f>IF($H746="","",IFERROR(INDEX('Settings'!$J$10:$J$39,MATCH($H746,'Settings'!$I$10:$I$39,0)),""))</f>
        <v/>
      </c>
      <c r="J746" s="6" t="n">
        <v>1</v>
      </c>
      <c r="K746" s="8" t="n">
        <v>150</v>
      </c>
      <c r="L746" s="8" t="n"/>
      <c r="M746" s="14">
        <f>IF($A746="","",$J746*$K746)</f>
        <v/>
      </c>
      <c r="N746" s="14">
        <f>IF($A746="","",$M746-$L746)</f>
        <v/>
      </c>
      <c r="O746" s="4" t="inlineStr">
        <is>
          <t>Card</t>
        </is>
      </c>
      <c r="P746" s="15">
        <f>IF($A746="","",DATE(YEAR($A746),MONTH($A746),1))</f>
        <v/>
      </c>
      <c r="Q746" s="16">
        <f>IF($H746="","",$J746*IFERROR(INDEX('Settings'!$L$10:$L$39,MATCH($H746,'Settings'!$I$10:$I$39,0)),0))</f>
        <v/>
      </c>
      <c r="R746" s="17">
        <f>IF($A746="","",$A746-WEEKDAY($A746,2)+1)</f>
        <v/>
      </c>
    </row>
    <row r="747">
      <c r="A747" s="5" t="n">
        <v>46264</v>
      </c>
      <c r="B747" s="4" t="inlineStr">
        <is>
          <t>North branch</t>
        </is>
      </c>
      <c r="C747" s="4" t="inlineStr">
        <is>
          <t>North 2</t>
        </is>
      </c>
      <c r="D747" s="4" t="inlineStr">
        <is>
          <t>Dr Mohamed Adel</t>
        </is>
      </c>
      <c r="E747" s="4" t="inlineStr">
        <is>
          <t>P-2339</t>
        </is>
      </c>
      <c r="F747" s="4" t="inlineStr">
        <is>
          <t>Returning</t>
        </is>
      </c>
      <c r="G747" s="4" t="inlineStr">
        <is>
          <t>Instagram</t>
        </is>
      </c>
      <c r="H747" s="4" t="inlineStr">
        <is>
          <t>Facial cleansing</t>
        </is>
      </c>
      <c r="I747" s="9">
        <f>IF($H747="","",IFERROR(INDEX('Settings'!$J$10:$J$39,MATCH($H747,'Settings'!$I$10:$I$39,0)),""))</f>
        <v/>
      </c>
      <c r="J747" s="6" t="n">
        <v>1</v>
      </c>
      <c r="K747" s="8" t="n">
        <v>400</v>
      </c>
      <c r="L747" s="8" t="n"/>
      <c r="M747" s="14">
        <f>IF($A747="","",$J747*$K747)</f>
        <v/>
      </c>
      <c r="N747" s="14">
        <f>IF($A747="","",$M747-$L747)</f>
        <v/>
      </c>
      <c r="O747" s="4" t="inlineStr">
        <is>
          <t>Card</t>
        </is>
      </c>
      <c r="P747" s="15">
        <f>IF($A747="","",DATE(YEAR($A747),MONTH($A747),1))</f>
        <v/>
      </c>
      <c r="Q747" s="16">
        <f>IF($H747="","",$J747*IFERROR(INDEX('Settings'!$L$10:$L$39,MATCH($H747,'Settings'!$I$10:$I$39,0)),0))</f>
        <v/>
      </c>
      <c r="R747" s="17">
        <f>IF($A747="","",$A747-WEEKDAY($A747,2)+1)</f>
        <v/>
      </c>
    </row>
    <row r="748">
      <c r="A748" s="5" t="n">
        <v>46264</v>
      </c>
      <c r="B748" s="4" t="inlineStr">
        <is>
          <t>North branch</t>
        </is>
      </c>
      <c r="C748" s="4" t="inlineStr">
        <is>
          <t>North 2</t>
        </is>
      </c>
      <c r="D748" s="4" t="inlineStr">
        <is>
          <t>Dr Layla Al Qahtani</t>
        </is>
      </c>
      <c r="E748" s="4" t="inlineStr">
        <is>
          <t>P-3329</t>
        </is>
      </c>
      <c r="F748" s="4" t="inlineStr">
        <is>
          <t>Returning</t>
        </is>
      </c>
      <c r="G748" s="4" t="inlineStr">
        <is>
          <t>Google</t>
        </is>
      </c>
      <c r="H748" s="4" t="inlineStr">
        <is>
          <t>Vitamin C serum</t>
        </is>
      </c>
      <c r="I748" s="9">
        <f>IF($H748="","",IFERROR(INDEX('Settings'!$J$10:$J$39,MATCH($H748,'Settings'!$I$10:$I$39,0)),""))</f>
        <v/>
      </c>
      <c r="J748" s="6" t="n">
        <v>1</v>
      </c>
      <c r="K748" s="8" t="n">
        <v>220</v>
      </c>
      <c r="L748" s="8" t="n"/>
      <c r="M748" s="14">
        <f>IF($A748="","",$J748*$K748)</f>
        <v/>
      </c>
      <c r="N748" s="14">
        <f>IF($A748="","",$M748-$L748)</f>
        <v/>
      </c>
      <c r="O748" s="4" t="inlineStr">
        <is>
          <t>Card</t>
        </is>
      </c>
      <c r="P748" s="15">
        <f>IF($A748="","",DATE(YEAR($A748),MONTH($A748),1))</f>
        <v/>
      </c>
      <c r="Q748" s="16">
        <f>IF($H748="","",$J748*IFERROR(INDEX('Settings'!$L$10:$L$39,MATCH($H748,'Settings'!$I$10:$I$39,0)),0))</f>
        <v/>
      </c>
      <c r="R748" s="17">
        <f>IF($A748="","",$A748-WEEKDAY($A748,2)+1)</f>
        <v/>
      </c>
    </row>
    <row r="749">
      <c r="A749" s="5" t="n">
        <v>46264</v>
      </c>
      <c r="B749" s="4" t="inlineStr">
        <is>
          <t>North branch</t>
        </is>
      </c>
      <c r="C749" s="4" t="inlineStr">
        <is>
          <t>North 2</t>
        </is>
      </c>
      <c r="D749" s="4" t="inlineStr">
        <is>
          <t>Dr Layla Al Qahtani</t>
        </is>
      </c>
      <c r="E749" s="4" t="inlineStr">
        <is>
          <t>P-2467</t>
        </is>
      </c>
      <c r="F749" s="4" t="inlineStr">
        <is>
          <t>Returning</t>
        </is>
      </c>
      <c r="G749" s="4" t="inlineStr">
        <is>
          <t>Walk-in</t>
        </is>
      </c>
      <c r="H749" s="4" t="inlineStr">
        <is>
          <t>Sunscreen cream</t>
        </is>
      </c>
      <c r="I749" s="9">
        <f>IF($H749="","",IFERROR(INDEX('Settings'!$J$10:$J$39,MATCH($H749,'Settings'!$I$10:$I$39,0)),""))</f>
        <v/>
      </c>
      <c r="J749" s="6" t="n">
        <v>1</v>
      </c>
      <c r="K749" s="8" t="n">
        <v>120</v>
      </c>
      <c r="L749" s="8" t="n">
        <v>10</v>
      </c>
      <c r="M749" s="14">
        <f>IF($A749="","",$J749*$K749)</f>
        <v/>
      </c>
      <c r="N749" s="14">
        <f>IF($A749="","",$M749-$L749)</f>
        <v/>
      </c>
      <c r="O749" s="4" t="inlineStr">
        <is>
          <t>Card</t>
        </is>
      </c>
      <c r="P749" s="15">
        <f>IF($A749="","",DATE(YEAR($A749),MONTH($A749),1))</f>
        <v/>
      </c>
      <c r="Q749" s="16">
        <f>IF($H749="","",$J749*IFERROR(INDEX('Settings'!$L$10:$L$39,MATCH($H749,'Settings'!$I$10:$I$39,0)),0))</f>
        <v/>
      </c>
      <c r="R749" s="17">
        <f>IF($A749="","",$A749-WEEKDAY($A749,2)+1)</f>
        <v/>
      </c>
    </row>
    <row r="750">
      <c r="A750" s="5" t="n">
        <v>46264</v>
      </c>
      <c r="B750" s="4" t="inlineStr">
        <is>
          <t>North branch</t>
        </is>
      </c>
      <c r="C750" s="4" t="inlineStr">
        <is>
          <t>North 2</t>
        </is>
      </c>
      <c r="D750" s="4" t="inlineStr">
        <is>
          <t>Dr Khaled Youssef</t>
        </is>
      </c>
      <c r="E750" s="4" t="inlineStr">
        <is>
          <t>P-2422</t>
        </is>
      </c>
      <c r="F750" s="4" t="inlineStr">
        <is>
          <t>Returning</t>
        </is>
      </c>
      <c r="G750" s="4" t="inlineStr">
        <is>
          <t>Referral</t>
        </is>
      </c>
      <c r="H750" s="4" t="inlineStr">
        <is>
          <t>Specialist consultation</t>
        </is>
      </c>
      <c r="I750" s="9">
        <f>IF($H750="","",IFERROR(INDEX('Settings'!$J$10:$J$39,MATCH($H750,'Settings'!$I$10:$I$39,0)),""))</f>
        <v/>
      </c>
      <c r="J750" s="6" t="n">
        <v>1</v>
      </c>
      <c r="K750" s="8" t="n">
        <v>350</v>
      </c>
      <c r="L750" s="8" t="n"/>
      <c r="M750" s="14">
        <f>IF($A750="","",$J750*$K750)</f>
        <v/>
      </c>
      <c r="N750" s="14">
        <f>IF($A750="","",$M750-$L750)</f>
        <v/>
      </c>
      <c r="O750" s="4" t="inlineStr">
        <is>
          <t>Card</t>
        </is>
      </c>
      <c r="P750" s="15">
        <f>IF($A750="","",DATE(YEAR($A750),MONTH($A750),1))</f>
        <v/>
      </c>
      <c r="Q750" s="16">
        <f>IF($H750="","",$J750*IFERROR(INDEX('Settings'!$L$10:$L$39,MATCH($H750,'Settings'!$I$10:$I$39,0)),0))</f>
        <v/>
      </c>
      <c r="R750" s="17">
        <f>IF($A750="","",$A750-WEEKDAY($A750,2)+1)</f>
        <v/>
      </c>
    </row>
    <row r="751">
      <c r="A751" s="5" t="n">
        <v>46265</v>
      </c>
      <c r="B751" s="4" t="inlineStr">
        <is>
          <t>Main branch</t>
        </is>
      </c>
      <c r="C751" s="4" t="inlineStr">
        <is>
          <t>Main 1</t>
        </is>
      </c>
      <c r="D751" s="4" t="inlineStr">
        <is>
          <t>Dr Sara Al Harbi</t>
        </is>
      </c>
      <c r="E751" s="4" t="inlineStr">
        <is>
          <t>P-2554</t>
        </is>
      </c>
      <c r="F751" s="4" t="inlineStr">
        <is>
          <t>Returning</t>
        </is>
      </c>
      <c r="G751" s="4" t="inlineStr">
        <is>
          <t>WhatsApp</t>
        </is>
      </c>
      <c r="H751" s="4" t="inlineStr">
        <is>
          <t>Chemical peel</t>
        </is>
      </c>
      <c r="I751" s="9">
        <f>IF($H751="","",IFERROR(INDEX('Settings'!$J$10:$J$39,MATCH($H751,'Settings'!$I$10:$I$39,0)),""))</f>
        <v/>
      </c>
      <c r="J751" s="6" t="n">
        <v>1</v>
      </c>
      <c r="K751" s="8" t="n">
        <v>800</v>
      </c>
      <c r="L751" s="8" t="n"/>
      <c r="M751" s="14">
        <f>IF($A751="","",$J751*$K751)</f>
        <v/>
      </c>
      <c r="N751" s="14">
        <f>IF($A751="","",$M751-$L751)</f>
        <v/>
      </c>
      <c r="O751" s="4" t="inlineStr">
        <is>
          <t>Card</t>
        </is>
      </c>
      <c r="P751" s="15">
        <f>IF($A751="","",DATE(YEAR($A751),MONTH($A751),1))</f>
        <v/>
      </c>
      <c r="Q751" s="16">
        <f>IF($H751="","",$J751*IFERROR(INDEX('Settings'!$L$10:$L$39,MATCH($H751,'Settings'!$I$10:$I$39,0)),0))</f>
        <v/>
      </c>
      <c r="R751" s="17">
        <f>IF($A751="","",$A751-WEEKDAY($A751,2)+1)</f>
        <v/>
      </c>
    </row>
    <row r="752">
      <c r="A752" s="5" t="n">
        <v>46265</v>
      </c>
      <c r="B752" s="4" t="inlineStr">
        <is>
          <t>Main branch</t>
        </is>
      </c>
      <c r="C752" s="4" t="inlineStr">
        <is>
          <t>Main 1</t>
        </is>
      </c>
      <c r="D752" s="4" t="inlineStr">
        <is>
          <t>Dr Sara Al Harbi</t>
        </is>
      </c>
      <c r="E752" s="4" t="inlineStr">
        <is>
          <t>P-2594</t>
        </is>
      </c>
      <c r="F752" s="4" t="inlineStr">
        <is>
          <t>New</t>
        </is>
      </c>
      <c r="G752" s="4" t="inlineStr">
        <is>
          <t>Walk-in</t>
        </is>
      </c>
      <c r="H752" s="4" t="inlineStr">
        <is>
          <t>Physiotherapy session</t>
        </is>
      </c>
      <c r="I752" s="9">
        <f>IF($H752="","",IFERROR(INDEX('Settings'!$J$10:$J$39,MATCH($H752,'Settings'!$I$10:$I$39,0)),""))</f>
        <v/>
      </c>
      <c r="J752" s="6" t="n">
        <v>1</v>
      </c>
      <c r="K752" s="8" t="n">
        <v>300</v>
      </c>
      <c r="L752" s="8" t="n"/>
      <c r="M752" s="14">
        <f>IF($A752="","",$J752*$K752)</f>
        <v/>
      </c>
      <c r="N752" s="14">
        <f>IF($A752="","",$M752-$L752)</f>
        <v/>
      </c>
      <c r="O752" s="4" t="inlineStr">
        <is>
          <t>Insurance</t>
        </is>
      </c>
      <c r="P752" s="15">
        <f>IF($A752="","",DATE(YEAR($A752),MONTH($A752),1))</f>
        <v/>
      </c>
      <c r="Q752" s="16">
        <f>IF($H752="","",$J752*IFERROR(INDEX('Settings'!$L$10:$L$39,MATCH($H752,'Settings'!$I$10:$I$39,0)),0))</f>
        <v/>
      </c>
      <c r="R752" s="17">
        <f>IF($A752="","",$A752-WEEKDAY($A752,2)+1)</f>
        <v/>
      </c>
    </row>
    <row r="753">
      <c r="A753" s="5" t="n">
        <v>46265</v>
      </c>
      <c r="B753" s="4" t="inlineStr">
        <is>
          <t>Main branch</t>
        </is>
      </c>
      <c r="C753" s="4" t="inlineStr">
        <is>
          <t>Main 4</t>
        </is>
      </c>
      <c r="D753" s="4" t="inlineStr">
        <is>
          <t>Dr Sara Al Harbi</t>
        </is>
      </c>
      <c r="E753" s="4" t="inlineStr">
        <is>
          <t>P-2890</t>
        </is>
      </c>
      <c r="F753" s="4" t="inlineStr">
        <is>
          <t>Returning</t>
        </is>
      </c>
      <c r="G753" s="4" t="inlineStr">
        <is>
          <t>Google</t>
        </is>
      </c>
      <c r="H753" s="4" t="inlineStr">
        <is>
          <t>Skin tag removal</t>
        </is>
      </c>
      <c r="I753" s="9">
        <f>IF($H753="","",IFERROR(INDEX('Settings'!$J$10:$J$39,MATCH($H753,'Settings'!$I$10:$I$39,0)),""))</f>
        <v/>
      </c>
      <c r="J753" s="6" t="n">
        <v>1</v>
      </c>
      <c r="K753" s="8" t="n">
        <v>500</v>
      </c>
      <c r="L753" s="8" t="n"/>
      <c r="M753" s="14">
        <f>IF($A753="","",$J753*$K753)</f>
        <v/>
      </c>
      <c r="N753" s="14">
        <f>IF($A753="","",$M753-$L753)</f>
        <v/>
      </c>
      <c r="O753" s="4" t="inlineStr">
        <is>
          <t>Payment link</t>
        </is>
      </c>
      <c r="P753" s="15">
        <f>IF($A753="","",DATE(YEAR($A753),MONTH($A753),1))</f>
        <v/>
      </c>
      <c r="Q753" s="16">
        <f>IF($H753="","",$J753*IFERROR(INDEX('Settings'!$L$10:$L$39,MATCH($H753,'Settings'!$I$10:$I$39,0)),0))</f>
        <v/>
      </c>
      <c r="R753" s="17">
        <f>IF($A753="","",$A753-WEEKDAY($A753,2)+1)</f>
        <v/>
      </c>
    </row>
    <row r="754">
      <c r="A754" s="5" t="n">
        <v>46265</v>
      </c>
      <c r="B754" s="4" t="inlineStr">
        <is>
          <t>Main branch</t>
        </is>
      </c>
      <c r="C754" s="4" t="inlineStr">
        <is>
          <t>Main 4</t>
        </is>
      </c>
      <c r="D754" s="4" t="inlineStr">
        <is>
          <t>Dr Noura Al Subaie</t>
        </is>
      </c>
      <c r="E754" s="4" t="inlineStr">
        <is>
          <t>P-2744</t>
        </is>
      </c>
      <c r="F754" s="4" t="inlineStr">
        <is>
          <t>Returning</t>
        </is>
      </c>
      <c r="G754" s="4" t="inlineStr">
        <is>
          <t>Referral</t>
        </is>
      </c>
      <c r="H754" s="4" t="inlineStr">
        <is>
          <t>Laser session, body</t>
        </is>
      </c>
      <c r="I754" s="9">
        <f>IF($H754="","",IFERROR(INDEX('Settings'!$J$10:$J$39,MATCH($H754,'Settings'!$I$10:$I$39,0)),""))</f>
        <v/>
      </c>
      <c r="J754" s="6" t="n">
        <v>1</v>
      </c>
      <c r="K754" s="8" t="n">
        <v>1200</v>
      </c>
      <c r="L754" s="8" t="n"/>
      <c r="M754" s="14">
        <f>IF($A754="","",$J754*$K754)</f>
        <v/>
      </c>
      <c r="N754" s="14">
        <f>IF($A754="","",$M754-$L754)</f>
        <v/>
      </c>
      <c r="O754" s="4" t="inlineStr">
        <is>
          <t>Cash</t>
        </is>
      </c>
      <c r="P754" s="15">
        <f>IF($A754="","",DATE(YEAR($A754),MONTH($A754),1))</f>
        <v/>
      </c>
      <c r="Q754" s="16">
        <f>IF($H754="","",$J754*IFERROR(INDEX('Settings'!$L$10:$L$39,MATCH($H754,'Settings'!$I$10:$I$39,0)),0))</f>
        <v/>
      </c>
      <c r="R754" s="17">
        <f>IF($A754="","",$A754-WEEKDAY($A754,2)+1)</f>
        <v/>
      </c>
    </row>
    <row r="755">
      <c r="A755" s="5" t="n">
        <v>46265</v>
      </c>
      <c r="B755" s="4" t="inlineStr">
        <is>
          <t>Main branch</t>
        </is>
      </c>
      <c r="C755" s="4" t="inlineStr">
        <is>
          <t>Main 4</t>
        </is>
      </c>
      <c r="D755" s="4" t="inlineStr">
        <is>
          <t>Dr Noura Al Subaie</t>
        </is>
      </c>
      <c r="E755" s="4" t="inlineStr">
        <is>
          <t>P-2989</t>
        </is>
      </c>
      <c r="F755" s="4" t="inlineStr">
        <is>
          <t>Returning</t>
        </is>
      </c>
      <c r="G755" s="4" t="inlineStr">
        <is>
          <t>Instagram</t>
        </is>
      </c>
      <c r="H755" s="4" t="inlineStr">
        <is>
          <t>Follow-up visit</t>
        </is>
      </c>
      <c r="I755" s="9">
        <f>IF($H755="","",IFERROR(INDEX('Settings'!$J$10:$J$39,MATCH($H755,'Settings'!$I$10:$I$39,0)),""))</f>
        <v/>
      </c>
      <c r="J755" s="6" t="n">
        <v>1</v>
      </c>
      <c r="K755" s="8" t="n">
        <v>150</v>
      </c>
      <c r="L755" s="8" t="n"/>
      <c r="M755" s="14">
        <f>IF($A755="","",$J755*$K755)</f>
        <v/>
      </c>
      <c r="N755" s="14">
        <f>IF($A755="","",$M755-$L755)</f>
        <v/>
      </c>
      <c r="O755" s="4" t="inlineStr">
        <is>
          <t>Cash</t>
        </is>
      </c>
      <c r="P755" s="15">
        <f>IF($A755="","",DATE(YEAR($A755),MONTH($A755),1))</f>
        <v/>
      </c>
      <c r="Q755" s="16">
        <f>IF($H755="","",$J755*IFERROR(INDEX('Settings'!$L$10:$L$39,MATCH($H755,'Settings'!$I$10:$I$39,0)),0))</f>
        <v/>
      </c>
      <c r="R755" s="17">
        <f>IF($A755="","",$A755-WEEKDAY($A755,2)+1)</f>
        <v/>
      </c>
    </row>
    <row r="756">
      <c r="A756" s="5" t="n">
        <v>46265</v>
      </c>
      <c r="B756" s="4" t="inlineStr">
        <is>
          <t>Main branch</t>
        </is>
      </c>
      <c r="C756" s="4" t="inlineStr">
        <is>
          <t>Main 4</t>
        </is>
      </c>
      <c r="D756" s="4" t="inlineStr">
        <is>
          <t>Dr Ahmed Mansour</t>
        </is>
      </c>
      <c r="E756" s="4" t="inlineStr">
        <is>
          <t>P-2779</t>
        </is>
      </c>
      <c r="F756" s="4" t="inlineStr">
        <is>
          <t>New</t>
        </is>
      </c>
      <c r="G756" s="4" t="inlineStr">
        <is>
          <t>Google</t>
        </is>
      </c>
      <c r="H756" s="4" t="inlineStr">
        <is>
          <t>Vitamin C serum</t>
        </is>
      </c>
      <c r="I756" s="9">
        <f>IF($H756="","",IFERROR(INDEX('Settings'!$J$10:$J$39,MATCH($H756,'Settings'!$I$10:$I$39,0)),""))</f>
        <v/>
      </c>
      <c r="J756" s="6" t="n">
        <v>1</v>
      </c>
      <c r="K756" s="8" t="n">
        <v>220</v>
      </c>
      <c r="L756" s="8" t="n">
        <v>10</v>
      </c>
      <c r="M756" s="14">
        <f>IF($A756="","",$J756*$K756)</f>
        <v/>
      </c>
      <c r="N756" s="14">
        <f>IF($A756="","",$M756-$L756)</f>
        <v/>
      </c>
      <c r="O756" s="4" t="inlineStr">
        <is>
          <t>Payment link</t>
        </is>
      </c>
      <c r="P756" s="15">
        <f>IF($A756="","",DATE(YEAR($A756),MONTH($A756),1))</f>
        <v/>
      </c>
      <c r="Q756" s="16">
        <f>IF($H756="","",$J756*IFERROR(INDEX('Settings'!$L$10:$L$39,MATCH($H756,'Settings'!$I$10:$I$39,0)),0))</f>
        <v/>
      </c>
      <c r="R756" s="17">
        <f>IF($A756="","",$A756-WEEKDAY($A756,2)+1)</f>
        <v/>
      </c>
    </row>
    <row r="757">
      <c r="A757" s="5" t="n">
        <v>46265</v>
      </c>
      <c r="B757" s="4" t="inlineStr">
        <is>
          <t>North branch</t>
        </is>
      </c>
      <c r="C757" s="4" t="inlineStr">
        <is>
          <t>North 1</t>
        </is>
      </c>
      <c r="D757" s="4" t="inlineStr">
        <is>
          <t>Dr Mohamed Adel</t>
        </is>
      </c>
      <c r="E757" s="4" t="inlineStr">
        <is>
          <t>P-3175</t>
        </is>
      </c>
      <c r="F757" s="4" t="inlineStr">
        <is>
          <t>New</t>
        </is>
      </c>
      <c r="G757" s="4" t="inlineStr">
        <is>
          <t>Walk-in</t>
        </is>
      </c>
      <c r="H757" s="4" t="inlineStr">
        <is>
          <t>Vitamin C serum</t>
        </is>
      </c>
      <c r="I757" s="9">
        <f>IF($H757="","",IFERROR(INDEX('Settings'!$J$10:$J$39,MATCH($H757,'Settings'!$I$10:$I$39,0)),""))</f>
        <v/>
      </c>
      <c r="J757" s="6" t="n">
        <v>1</v>
      </c>
      <c r="K757" s="8" t="n">
        <v>220</v>
      </c>
      <c r="L757" s="8" t="n"/>
      <c r="M757" s="14">
        <f>IF($A757="","",$J757*$K757)</f>
        <v/>
      </c>
      <c r="N757" s="14">
        <f>IF($A757="","",$M757-$L757)</f>
        <v/>
      </c>
      <c r="O757" s="4" t="inlineStr">
        <is>
          <t>Card</t>
        </is>
      </c>
      <c r="P757" s="15">
        <f>IF($A757="","",DATE(YEAR($A757),MONTH($A757),1))</f>
        <v/>
      </c>
      <c r="Q757" s="16">
        <f>IF($H757="","",$J757*IFERROR(INDEX('Settings'!$L$10:$L$39,MATCH($H757,'Settings'!$I$10:$I$39,0)),0))</f>
        <v/>
      </c>
      <c r="R757" s="17">
        <f>IF($A757="","",$A757-WEEKDAY($A757,2)+1)</f>
        <v/>
      </c>
    </row>
    <row r="758">
      <c r="A758" s="5" t="n">
        <v>46265</v>
      </c>
      <c r="B758" s="4" t="inlineStr">
        <is>
          <t>North branch</t>
        </is>
      </c>
      <c r="C758" s="4" t="inlineStr">
        <is>
          <t>North 1</t>
        </is>
      </c>
      <c r="D758" s="4" t="inlineStr">
        <is>
          <t>Dr Layla Al Qahtani</t>
        </is>
      </c>
      <c r="E758" s="4" t="inlineStr">
        <is>
          <t>P-3486</t>
        </is>
      </c>
      <c r="F758" s="4" t="inlineStr">
        <is>
          <t>New</t>
        </is>
      </c>
      <c r="G758" s="4" t="inlineStr">
        <is>
          <t>Google</t>
        </is>
      </c>
      <c r="H758" s="4" t="inlineStr">
        <is>
          <t>Follow-up visit</t>
        </is>
      </c>
      <c r="I758" s="9">
        <f>IF($H758="","",IFERROR(INDEX('Settings'!$J$10:$J$39,MATCH($H758,'Settings'!$I$10:$I$39,0)),""))</f>
        <v/>
      </c>
      <c r="J758" s="6" t="n">
        <v>1</v>
      </c>
      <c r="K758" s="8" t="n">
        <v>150</v>
      </c>
      <c r="L758" s="8" t="n"/>
      <c r="M758" s="14">
        <f>IF($A758="","",$J758*$K758)</f>
        <v/>
      </c>
      <c r="N758" s="14">
        <f>IF($A758="","",$M758-$L758)</f>
        <v/>
      </c>
      <c r="O758" s="4" t="inlineStr">
        <is>
          <t>Card</t>
        </is>
      </c>
      <c r="P758" s="15">
        <f>IF($A758="","",DATE(YEAR($A758),MONTH($A758),1))</f>
        <v/>
      </c>
      <c r="Q758" s="16">
        <f>IF($H758="","",$J758*IFERROR(INDEX('Settings'!$L$10:$L$39,MATCH($H758,'Settings'!$I$10:$I$39,0)),0))</f>
        <v/>
      </c>
      <c r="R758" s="17">
        <f>IF($A758="","",$A758-WEEKDAY($A758,2)+1)</f>
        <v/>
      </c>
    </row>
    <row r="759">
      <c r="A759" s="5" t="n">
        <v>46265</v>
      </c>
      <c r="B759" s="4" t="inlineStr">
        <is>
          <t>North branch</t>
        </is>
      </c>
      <c r="C759" s="4" t="inlineStr">
        <is>
          <t>North 1</t>
        </is>
      </c>
      <c r="D759" s="4" t="inlineStr">
        <is>
          <t>Dr Mohamed Adel</t>
        </is>
      </c>
      <c r="E759" s="4" t="inlineStr">
        <is>
          <t>P-3022</t>
        </is>
      </c>
      <c r="F759" s="4" t="inlineStr">
        <is>
          <t>Returning</t>
        </is>
      </c>
      <c r="G759" s="4" t="inlineStr">
        <is>
          <t>Walk-in</t>
        </is>
      </c>
      <c r="H759" s="4" t="inlineStr">
        <is>
          <t>Specialist consultation</t>
        </is>
      </c>
      <c r="I759" s="9">
        <f>IF($H759="","",IFERROR(INDEX('Settings'!$J$10:$J$39,MATCH($H759,'Settings'!$I$10:$I$39,0)),""))</f>
        <v/>
      </c>
      <c r="J759" s="6" t="n">
        <v>1</v>
      </c>
      <c r="K759" s="8" t="n">
        <v>350</v>
      </c>
      <c r="L759" s="8" t="n"/>
      <c r="M759" s="14">
        <f>IF($A759="","",$J759*$K759)</f>
        <v/>
      </c>
      <c r="N759" s="14">
        <f>IF($A759="","",$M759-$L759)</f>
        <v/>
      </c>
      <c r="O759" s="4" t="inlineStr">
        <is>
          <t>Cash</t>
        </is>
      </c>
      <c r="P759" s="15">
        <f>IF($A759="","",DATE(YEAR($A759),MONTH($A759),1))</f>
        <v/>
      </c>
      <c r="Q759" s="16">
        <f>IF($H759="","",$J759*IFERROR(INDEX('Settings'!$L$10:$L$39,MATCH($H759,'Settings'!$I$10:$I$39,0)),0))</f>
        <v/>
      </c>
      <c r="R759" s="17">
        <f>IF($A759="","",$A759-WEEKDAY($A759,2)+1)</f>
        <v/>
      </c>
    </row>
    <row r="760">
      <c r="A760" s="5" t="n">
        <v>46265</v>
      </c>
      <c r="B760" s="4" t="inlineStr">
        <is>
          <t>North branch</t>
        </is>
      </c>
      <c r="C760" s="4" t="inlineStr">
        <is>
          <t>North 1</t>
        </is>
      </c>
      <c r="D760" s="4" t="inlineStr">
        <is>
          <t>Dr Khaled Youssef</t>
        </is>
      </c>
      <c r="E760" s="4" t="inlineStr">
        <is>
          <t>P-3379</t>
        </is>
      </c>
      <c r="F760" s="4" t="inlineStr">
        <is>
          <t>Returning</t>
        </is>
      </c>
      <c r="G760" s="4" t="inlineStr">
        <is>
          <t>Instagram</t>
        </is>
      </c>
      <c r="H760" s="4" t="inlineStr">
        <is>
          <t>Physiotherapy session</t>
        </is>
      </c>
      <c r="I760" s="9">
        <f>IF($H760="","",IFERROR(INDEX('Settings'!$J$10:$J$39,MATCH($H760,'Settings'!$I$10:$I$39,0)),""))</f>
        <v/>
      </c>
      <c r="J760" s="6" t="n">
        <v>1</v>
      </c>
      <c r="K760" s="8" t="n">
        <v>300</v>
      </c>
      <c r="L760" s="8" t="n">
        <v>40</v>
      </c>
      <c r="M760" s="14">
        <f>IF($A760="","",$J760*$K760)</f>
        <v/>
      </c>
      <c r="N760" s="14">
        <f>IF($A760="","",$M760-$L760)</f>
        <v/>
      </c>
      <c r="O760" s="4" t="inlineStr">
        <is>
          <t>Transfer</t>
        </is>
      </c>
      <c r="P760" s="15">
        <f>IF($A760="","",DATE(YEAR($A760),MONTH($A760),1))</f>
        <v/>
      </c>
      <c r="Q760" s="16">
        <f>IF($H760="","",$J760*IFERROR(INDEX('Settings'!$L$10:$L$39,MATCH($H760,'Settings'!$I$10:$I$39,0)),0))</f>
        <v/>
      </c>
      <c r="R760" s="17">
        <f>IF($A760="","",$A760-WEEKDAY($A760,2)+1)</f>
        <v/>
      </c>
    </row>
    <row r="761">
      <c r="A761" s="5" t="n">
        <v>46265</v>
      </c>
      <c r="B761" s="4" t="inlineStr">
        <is>
          <t>North branch</t>
        </is>
      </c>
      <c r="C761" s="4" t="inlineStr">
        <is>
          <t>North 1</t>
        </is>
      </c>
      <c r="D761" s="4" t="inlineStr">
        <is>
          <t>Dr Mohamed Adel</t>
        </is>
      </c>
      <c r="E761" s="4" t="inlineStr">
        <is>
          <t>P-2769</t>
        </is>
      </c>
      <c r="F761" s="4" t="inlineStr">
        <is>
          <t>Returning</t>
        </is>
      </c>
      <c r="G761" s="4" t="inlineStr">
        <is>
          <t>WhatsApp</t>
        </is>
      </c>
      <c r="H761" s="4" t="inlineStr">
        <is>
          <t>Botulinum toxin</t>
        </is>
      </c>
      <c r="I761" s="9">
        <f>IF($H761="","",IFERROR(INDEX('Settings'!$J$10:$J$39,MATCH($H761,'Settings'!$I$10:$I$39,0)),""))</f>
        <v/>
      </c>
      <c r="J761" s="6" t="n">
        <v>1</v>
      </c>
      <c r="K761" s="8" t="n">
        <v>1500</v>
      </c>
      <c r="L761" s="8" t="n"/>
      <c r="M761" s="14">
        <f>IF($A761="","",$J761*$K761)</f>
        <v/>
      </c>
      <c r="N761" s="14">
        <f>IF($A761="","",$M761-$L761)</f>
        <v/>
      </c>
      <c r="O761" s="4" t="inlineStr">
        <is>
          <t>Insurance</t>
        </is>
      </c>
      <c r="P761" s="15">
        <f>IF($A761="","",DATE(YEAR($A761),MONTH($A761),1))</f>
        <v/>
      </c>
      <c r="Q761" s="16">
        <f>IF($H761="","",$J761*IFERROR(INDEX('Settings'!$L$10:$L$39,MATCH($H761,'Settings'!$I$10:$I$39,0)),0))</f>
        <v/>
      </c>
      <c r="R761" s="17">
        <f>IF($A761="","",$A761-WEEKDAY($A761,2)+1)</f>
        <v/>
      </c>
    </row>
    <row r="762">
      <c r="A762" s="5" t="n">
        <v>46265</v>
      </c>
      <c r="B762" s="4" t="inlineStr">
        <is>
          <t>North branch</t>
        </is>
      </c>
      <c r="C762" s="4" t="inlineStr">
        <is>
          <t>North 1</t>
        </is>
      </c>
      <c r="D762" s="4" t="inlineStr">
        <is>
          <t>Dr Khaled Youssef</t>
        </is>
      </c>
      <c r="E762" s="4" t="inlineStr">
        <is>
          <t>P-2619</t>
        </is>
      </c>
      <c r="F762" s="4" t="inlineStr">
        <is>
          <t>New</t>
        </is>
      </c>
      <c r="G762" s="4" t="inlineStr">
        <is>
          <t>Google</t>
        </is>
      </c>
      <c r="H762" s="4" t="inlineStr">
        <is>
          <t>Botulinum toxin</t>
        </is>
      </c>
      <c r="I762" s="9">
        <f>IF($H762="","",IFERROR(INDEX('Settings'!$J$10:$J$39,MATCH($H762,'Settings'!$I$10:$I$39,0)),""))</f>
        <v/>
      </c>
      <c r="J762" s="6" t="n">
        <v>1</v>
      </c>
      <c r="K762" s="8" t="n">
        <v>1500</v>
      </c>
      <c r="L762" s="8" t="n"/>
      <c r="M762" s="14">
        <f>IF($A762="","",$J762*$K762)</f>
        <v/>
      </c>
      <c r="N762" s="14">
        <f>IF($A762="","",$M762-$L762)</f>
        <v/>
      </c>
      <c r="O762" s="4" t="inlineStr">
        <is>
          <t>Payment link</t>
        </is>
      </c>
      <c r="P762" s="15">
        <f>IF($A762="","",DATE(YEAR($A762),MONTH($A762),1))</f>
        <v/>
      </c>
      <c r="Q762" s="16">
        <f>IF($H762="","",$J762*IFERROR(INDEX('Settings'!$L$10:$L$39,MATCH($H762,'Settings'!$I$10:$I$39,0)),0))</f>
        <v/>
      </c>
      <c r="R762" s="17">
        <f>IF($A762="","",$A762-WEEKDAY($A762,2)+1)</f>
        <v/>
      </c>
    </row>
    <row r="763">
      <c r="A763" s="5" t="n">
        <v>46265</v>
      </c>
      <c r="B763" s="4" t="inlineStr">
        <is>
          <t>North branch</t>
        </is>
      </c>
      <c r="C763" s="4" t="inlineStr">
        <is>
          <t>North 2</t>
        </is>
      </c>
      <c r="D763" s="4" t="inlineStr">
        <is>
          <t>Dr Layla Al Qahtani</t>
        </is>
      </c>
      <c r="E763" s="4" t="inlineStr">
        <is>
          <t>P-2871</t>
        </is>
      </c>
      <c r="F763" s="4" t="inlineStr">
        <is>
          <t>Returning</t>
        </is>
      </c>
      <c r="G763" s="4" t="inlineStr">
        <is>
          <t>Instagram</t>
        </is>
      </c>
      <c r="H763" s="4" t="inlineStr">
        <is>
          <t>Specialist consultation</t>
        </is>
      </c>
      <c r="I763" s="9">
        <f>IF($H763="","",IFERROR(INDEX('Settings'!$J$10:$J$39,MATCH($H763,'Settings'!$I$10:$I$39,0)),""))</f>
        <v/>
      </c>
      <c r="J763" s="6" t="n">
        <v>1</v>
      </c>
      <c r="K763" s="8" t="n">
        <v>350</v>
      </c>
      <c r="L763" s="8" t="n"/>
      <c r="M763" s="14">
        <f>IF($A763="","",$J763*$K763)</f>
        <v/>
      </c>
      <c r="N763" s="14">
        <f>IF($A763="","",$M763-$L763)</f>
        <v/>
      </c>
      <c r="O763" s="4" t="inlineStr">
        <is>
          <t>Transfer</t>
        </is>
      </c>
      <c r="P763" s="15">
        <f>IF($A763="","",DATE(YEAR($A763),MONTH($A763),1))</f>
        <v/>
      </c>
      <c r="Q763" s="16">
        <f>IF($H763="","",$J763*IFERROR(INDEX('Settings'!$L$10:$L$39,MATCH($H763,'Settings'!$I$10:$I$39,0)),0))</f>
        <v/>
      </c>
      <c r="R763" s="17">
        <f>IF($A763="","",$A763-WEEKDAY($A763,2)+1)</f>
        <v/>
      </c>
    </row>
    <row r="764">
      <c r="A764" s="5" t="n">
        <v>46266</v>
      </c>
      <c r="B764" s="4" t="inlineStr">
        <is>
          <t>Main branch</t>
        </is>
      </c>
      <c r="C764" s="4" t="inlineStr">
        <is>
          <t>Main 1</t>
        </is>
      </c>
      <c r="D764" s="4" t="inlineStr">
        <is>
          <t>Dr Ahmed Mansour</t>
        </is>
      </c>
      <c r="E764" s="4" t="inlineStr">
        <is>
          <t>P-2134</t>
        </is>
      </c>
      <c r="F764" s="4" t="inlineStr">
        <is>
          <t>New</t>
        </is>
      </c>
      <c r="G764" s="4" t="inlineStr">
        <is>
          <t>WhatsApp</t>
        </is>
      </c>
      <c r="H764" s="4" t="inlineStr">
        <is>
          <t>Specialist consultation</t>
        </is>
      </c>
      <c r="I764" s="9">
        <f>IF($H764="","",IFERROR(INDEX('Settings'!$J$10:$J$39,MATCH($H764,'Settings'!$I$10:$I$39,0)),""))</f>
        <v/>
      </c>
      <c r="J764" s="6" t="n">
        <v>1</v>
      </c>
      <c r="K764" s="8" t="n">
        <v>350</v>
      </c>
      <c r="L764" s="8" t="n"/>
      <c r="M764" s="14">
        <f>IF($A764="","",$J764*$K764)</f>
        <v/>
      </c>
      <c r="N764" s="14">
        <f>IF($A764="","",$M764-$L764)</f>
        <v/>
      </c>
      <c r="O764" s="4" t="inlineStr">
        <is>
          <t>Cash</t>
        </is>
      </c>
      <c r="P764" s="15">
        <f>IF($A764="","",DATE(YEAR($A764),MONTH($A764),1))</f>
        <v/>
      </c>
      <c r="Q764" s="16">
        <f>IF($H764="","",$J764*IFERROR(INDEX('Settings'!$L$10:$L$39,MATCH($H764,'Settings'!$I$10:$I$39,0)),0))</f>
        <v/>
      </c>
      <c r="R764" s="17">
        <f>IF($A764="","",$A764-WEEKDAY($A764,2)+1)</f>
        <v/>
      </c>
    </row>
    <row r="765">
      <c r="A765" s="5" t="n">
        <v>46266</v>
      </c>
      <c r="B765" s="4" t="inlineStr">
        <is>
          <t>Main branch</t>
        </is>
      </c>
      <c r="C765" s="4" t="inlineStr">
        <is>
          <t>Main 1</t>
        </is>
      </c>
      <c r="D765" s="4" t="inlineStr">
        <is>
          <t>Dr Ahmed Mansour</t>
        </is>
      </c>
      <c r="E765" s="4" t="inlineStr">
        <is>
          <t>P-3498</t>
        </is>
      </c>
      <c r="F765" s="4" t="inlineStr">
        <is>
          <t>Returning</t>
        </is>
      </c>
      <c r="G765" s="4" t="inlineStr">
        <is>
          <t>WhatsApp</t>
        </is>
      </c>
      <c r="H765" s="4" t="inlineStr">
        <is>
          <t>Physiotherapy session</t>
        </is>
      </c>
      <c r="I765" s="9">
        <f>IF($H765="","",IFERROR(INDEX('Settings'!$J$10:$J$39,MATCH($H765,'Settings'!$I$10:$I$39,0)),""))</f>
        <v/>
      </c>
      <c r="J765" s="6" t="n">
        <v>1</v>
      </c>
      <c r="K765" s="8" t="n">
        <v>300</v>
      </c>
      <c r="L765" s="8" t="n">
        <v>60</v>
      </c>
      <c r="M765" s="14">
        <f>IF($A765="","",$J765*$K765)</f>
        <v/>
      </c>
      <c r="N765" s="14">
        <f>IF($A765="","",$M765-$L765)</f>
        <v/>
      </c>
      <c r="O765" s="4" t="inlineStr">
        <is>
          <t>Card</t>
        </is>
      </c>
      <c r="P765" s="15">
        <f>IF($A765="","",DATE(YEAR($A765),MONTH($A765),1))</f>
        <v/>
      </c>
      <c r="Q765" s="16">
        <f>IF($H765="","",$J765*IFERROR(INDEX('Settings'!$L$10:$L$39,MATCH($H765,'Settings'!$I$10:$I$39,0)),0))</f>
        <v/>
      </c>
      <c r="R765" s="17">
        <f>IF($A765="","",$A765-WEEKDAY($A765,2)+1)</f>
        <v/>
      </c>
    </row>
    <row r="766">
      <c r="A766" s="5" t="n">
        <v>46266</v>
      </c>
      <c r="B766" s="4" t="inlineStr">
        <is>
          <t>Main branch</t>
        </is>
      </c>
      <c r="C766" s="4" t="inlineStr">
        <is>
          <t>Main 2</t>
        </is>
      </c>
      <c r="D766" s="4" t="inlineStr">
        <is>
          <t>Dr Sara Al Harbi</t>
        </is>
      </c>
      <c r="E766" s="4" t="inlineStr">
        <is>
          <t>P-2154</t>
        </is>
      </c>
      <c r="F766" s="4" t="inlineStr">
        <is>
          <t>Returning</t>
        </is>
      </c>
      <c r="G766" s="4" t="inlineStr">
        <is>
          <t>Walk-in</t>
        </is>
      </c>
      <c r="H766" s="4" t="inlineStr">
        <is>
          <t>Laser session, face</t>
        </is>
      </c>
      <c r="I766" s="9">
        <f>IF($H766="","",IFERROR(INDEX('Settings'!$J$10:$J$39,MATCH($H766,'Settings'!$I$10:$I$39,0)),""))</f>
        <v/>
      </c>
      <c r="J766" s="6" t="n">
        <v>1</v>
      </c>
      <c r="K766" s="8" t="n">
        <v>600</v>
      </c>
      <c r="L766" s="8" t="n">
        <v>120</v>
      </c>
      <c r="M766" s="14">
        <f>IF($A766="","",$J766*$K766)</f>
        <v/>
      </c>
      <c r="N766" s="14">
        <f>IF($A766="","",$M766-$L766)</f>
        <v/>
      </c>
      <c r="O766" s="4" t="inlineStr">
        <is>
          <t>Card</t>
        </is>
      </c>
      <c r="P766" s="15">
        <f>IF($A766="","",DATE(YEAR($A766),MONTH($A766),1))</f>
        <v/>
      </c>
      <c r="Q766" s="16">
        <f>IF($H766="","",$J766*IFERROR(INDEX('Settings'!$L$10:$L$39,MATCH($H766,'Settings'!$I$10:$I$39,0)),0))</f>
        <v/>
      </c>
      <c r="R766" s="17">
        <f>IF($A766="","",$A766-WEEKDAY($A766,2)+1)</f>
        <v/>
      </c>
    </row>
    <row r="767">
      <c r="A767" s="5" t="n">
        <v>46266</v>
      </c>
      <c r="B767" s="4" t="inlineStr">
        <is>
          <t>Main branch</t>
        </is>
      </c>
      <c r="C767" s="4" t="inlineStr">
        <is>
          <t>Main 3</t>
        </is>
      </c>
      <c r="D767" s="4" t="inlineStr">
        <is>
          <t>Dr Ahmed Mansour</t>
        </is>
      </c>
      <c r="E767" s="4" t="inlineStr">
        <is>
          <t>P-3360</t>
        </is>
      </c>
      <c r="F767" s="4" t="inlineStr">
        <is>
          <t>Returning</t>
        </is>
      </c>
      <c r="G767" s="4" t="inlineStr">
        <is>
          <t>WhatsApp</t>
        </is>
      </c>
      <c r="H767" s="4" t="inlineStr">
        <is>
          <t>Facial cleansing</t>
        </is>
      </c>
      <c r="I767" s="9">
        <f>IF($H767="","",IFERROR(INDEX('Settings'!$J$10:$J$39,MATCH($H767,'Settings'!$I$10:$I$39,0)),""))</f>
        <v/>
      </c>
      <c r="J767" s="6" t="n">
        <v>1</v>
      </c>
      <c r="K767" s="8" t="n">
        <v>400</v>
      </c>
      <c r="L767" s="8" t="n">
        <v>80</v>
      </c>
      <c r="M767" s="14">
        <f>IF($A767="","",$J767*$K767)</f>
        <v/>
      </c>
      <c r="N767" s="14">
        <f>IF($A767="","",$M767-$L767)</f>
        <v/>
      </c>
      <c r="O767" s="4" t="inlineStr">
        <is>
          <t>Insurance</t>
        </is>
      </c>
      <c r="P767" s="15">
        <f>IF($A767="","",DATE(YEAR($A767),MONTH($A767),1))</f>
        <v/>
      </c>
      <c r="Q767" s="16">
        <f>IF($H767="","",$J767*IFERROR(INDEX('Settings'!$L$10:$L$39,MATCH($H767,'Settings'!$I$10:$I$39,0)),0))</f>
        <v/>
      </c>
      <c r="R767" s="17">
        <f>IF($A767="","",$A767-WEEKDAY($A767,2)+1)</f>
        <v/>
      </c>
    </row>
    <row r="768">
      <c r="A768" s="5" t="n">
        <v>46266</v>
      </c>
      <c r="B768" s="4" t="inlineStr">
        <is>
          <t>Main branch</t>
        </is>
      </c>
      <c r="C768" s="4" t="inlineStr">
        <is>
          <t>Main 3</t>
        </is>
      </c>
      <c r="D768" s="4" t="inlineStr">
        <is>
          <t>Dr Sara Al Harbi</t>
        </is>
      </c>
      <c r="E768" s="4" t="inlineStr">
        <is>
          <t>P-2137</t>
        </is>
      </c>
      <c r="F768" s="4" t="inlineStr">
        <is>
          <t>Returning</t>
        </is>
      </c>
      <c r="G768" s="4" t="inlineStr">
        <is>
          <t>Referral</t>
        </is>
      </c>
      <c r="H768" s="4" t="inlineStr">
        <is>
          <t>Sunscreen cream</t>
        </is>
      </c>
      <c r="I768" s="9">
        <f>IF($H768="","",IFERROR(INDEX('Settings'!$J$10:$J$39,MATCH($H768,'Settings'!$I$10:$I$39,0)),""))</f>
        <v/>
      </c>
      <c r="J768" s="6" t="n">
        <v>1</v>
      </c>
      <c r="K768" s="8" t="n">
        <v>120</v>
      </c>
      <c r="L768" s="8" t="n">
        <v>10</v>
      </c>
      <c r="M768" s="14">
        <f>IF($A768="","",$J768*$K768)</f>
        <v/>
      </c>
      <c r="N768" s="14">
        <f>IF($A768="","",$M768-$L768)</f>
        <v/>
      </c>
      <c r="O768" s="4" t="inlineStr">
        <is>
          <t>Card</t>
        </is>
      </c>
      <c r="P768" s="15">
        <f>IF($A768="","",DATE(YEAR($A768),MONTH($A768),1))</f>
        <v/>
      </c>
      <c r="Q768" s="16">
        <f>IF($H768="","",$J768*IFERROR(INDEX('Settings'!$L$10:$L$39,MATCH($H768,'Settings'!$I$10:$I$39,0)),0))</f>
        <v/>
      </c>
      <c r="R768" s="17">
        <f>IF($A768="","",$A768-WEEKDAY($A768,2)+1)</f>
        <v/>
      </c>
    </row>
    <row r="769">
      <c r="A769" s="5" t="n">
        <v>46266</v>
      </c>
      <c r="B769" s="4" t="inlineStr">
        <is>
          <t>Main branch</t>
        </is>
      </c>
      <c r="C769" s="4" t="inlineStr">
        <is>
          <t>Main 4</t>
        </is>
      </c>
      <c r="D769" s="4" t="inlineStr">
        <is>
          <t>Dr Sara Al Harbi</t>
        </is>
      </c>
      <c r="E769" s="4" t="inlineStr">
        <is>
          <t>P-2430</t>
        </is>
      </c>
      <c r="F769" s="4" t="inlineStr">
        <is>
          <t>Returning</t>
        </is>
      </c>
      <c r="G769" s="4" t="inlineStr">
        <is>
          <t>Instagram</t>
        </is>
      </c>
      <c r="H769" s="4" t="inlineStr">
        <is>
          <t>Laser session, face</t>
        </is>
      </c>
      <c r="I769" s="9">
        <f>IF($H769="","",IFERROR(INDEX('Settings'!$J$10:$J$39,MATCH($H769,'Settings'!$I$10:$I$39,0)),""))</f>
        <v/>
      </c>
      <c r="J769" s="6" t="n">
        <v>1</v>
      </c>
      <c r="K769" s="8" t="n">
        <v>600</v>
      </c>
      <c r="L769" s="8" t="n">
        <v>120</v>
      </c>
      <c r="M769" s="14">
        <f>IF($A769="","",$J769*$K769)</f>
        <v/>
      </c>
      <c r="N769" s="14">
        <f>IF($A769="","",$M769-$L769)</f>
        <v/>
      </c>
      <c r="O769" s="4" t="inlineStr">
        <is>
          <t>Insurance</t>
        </is>
      </c>
      <c r="P769" s="15">
        <f>IF($A769="","",DATE(YEAR($A769),MONTH($A769),1))</f>
        <v/>
      </c>
      <c r="Q769" s="16">
        <f>IF($H769="","",$J769*IFERROR(INDEX('Settings'!$L$10:$L$39,MATCH($H769,'Settings'!$I$10:$I$39,0)),0))</f>
        <v/>
      </c>
      <c r="R769" s="17">
        <f>IF($A769="","",$A769-WEEKDAY($A769,2)+1)</f>
        <v/>
      </c>
    </row>
    <row r="770">
      <c r="A770" s="5" t="n">
        <v>46266</v>
      </c>
      <c r="B770" s="4" t="inlineStr">
        <is>
          <t>North branch</t>
        </is>
      </c>
      <c r="C770" s="4" t="inlineStr">
        <is>
          <t>North 2</t>
        </is>
      </c>
      <c r="D770" s="4" t="inlineStr">
        <is>
          <t>Dr Khaled Youssef</t>
        </is>
      </c>
      <c r="E770" s="4" t="inlineStr">
        <is>
          <t>P-2156</t>
        </is>
      </c>
      <c r="F770" s="4" t="inlineStr">
        <is>
          <t>Returning</t>
        </is>
      </c>
      <c r="G770" s="4" t="inlineStr">
        <is>
          <t>Walk-in</t>
        </is>
      </c>
      <c r="H770" s="4" t="inlineStr">
        <is>
          <t>Chemical peel</t>
        </is>
      </c>
      <c r="I770" s="9">
        <f>IF($H770="","",IFERROR(INDEX('Settings'!$J$10:$J$39,MATCH($H770,'Settings'!$I$10:$I$39,0)),""))</f>
        <v/>
      </c>
      <c r="J770" s="6" t="n">
        <v>1</v>
      </c>
      <c r="K770" s="8" t="n">
        <v>800</v>
      </c>
      <c r="L770" s="8" t="n"/>
      <c r="M770" s="14">
        <f>IF($A770="","",$J770*$K770)</f>
        <v/>
      </c>
      <c r="N770" s="14">
        <f>IF($A770="","",$M770-$L770)</f>
        <v/>
      </c>
      <c r="O770" s="4" t="inlineStr">
        <is>
          <t>Card</t>
        </is>
      </c>
      <c r="P770" s="15">
        <f>IF($A770="","",DATE(YEAR($A770),MONTH($A770),1))</f>
        <v/>
      </c>
      <c r="Q770" s="16">
        <f>IF($H770="","",$J770*IFERROR(INDEX('Settings'!$L$10:$L$39,MATCH($H770,'Settings'!$I$10:$I$39,0)),0))</f>
        <v/>
      </c>
      <c r="R770" s="17">
        <f>IF($A770="","",$A770-WEEKDAY($A770,2)+1)</f>
        <v/>
      </c>
    </row>
    <row r="771">
      <c r="A771" s="5" t="n">
        <v>46266</v>
      </c>
      <c r="B771" s="4" t="inlineStr">
        <is>
          <t>North branch</t>
        </is>
      </c>
      <c r="C771" s="4" t="inlineStr">
        <is>
          <t>North 2</t>
        </is>
      </c>
      <c r="D771" s="4" t="inlineStr">
        <is>
          <t>Dr Layla Al Qahtani</t>
        </is>
      </c>
      <c r="E771" s="4" t="inlineStr">
        <is>
          <t>P-3316</t>
        </is>
      </c>
      <c r="F771" s="4" t="inlineStr">
        <is>
          <t>Returning</t>
        </is>
      </c>
      <c r="G771" s="4" t="inlineStr">
        <is>
          <t>Referral</t>
        </is>
      </c>
      <c r="H771" s="4" t="inlineStr">
        <is>
          <t>Facial cleansing</t>
        </is>
      </c>
      <c r="I771" s="9">
        <f>IF($H771="","",IFERROR(INDEX('Settings'!$J$10:$J$39,MATCH($H771,'Settings'!$I$10:$I$39,0)),""))</f>
        <v/>
      </c>
      <c r="J771" s="6" t="n">
        <v>1</v>
      </c>
      <c r="K771" s="8" t="n">
        <v>400</v>
      </c>
      <c r="L771" s="8" t="n">
        <v>80</v>
      </c>
      <c r="M771" s="14">
        <f>IF($A771="","",$J771*$K771)</f>
        <v/>
      </c>
      <c r="N771" s="14">
        <f>IF($A771="","",$M771-$L771)</f>
        <v/>
      </c>
      <c r="O771" s="4" t="inlineStr">
        <is>
          <t>Payment link</t>
        </is>
      </c>
      <c r="P771" s="15">
        <f>IF($A771="","",DATE(YEAR($A771),MONTH($A771),1))</f>
        <v/>
      </c>
      <c r="Q771" s="16">
        <f>IF($H771="","",$J771*IFERROR(INDEX('Settings'!$L$10:$L$39,MATCH($H771,'Settings'!$I$10:$I$39,0)),0))</f>
        <v/>
      </c>
      <c r="R771" s="17">
        <f>IF($A771="","",$A771-WEEKDAY($A771,2)+1)</f>
        <v/>
      </c>
    </row>
    <row r="772">
      <c r="A772" s="5" t="n">
        <v>46266</v>
      </c>
      <c r="B772" s="4" t="inlineStr">
        <is>
          <t>North branch</t>
        </is>
      </c>
      <c r="C772" s="4" t="inlineStr">
        <is>
          <t>North 2</t>
        </is>
      </c>
      <c r="D772" s="4" t="inlineStr">
        <is>
          <t>Dr Khaled Youssef</t>
        </is>
      </c>
      <c r="E772" s="4" t="inlineStr">
        <is>
          <t>P-3440</t>
        </is>
      </c>
      <c r="F772" s="4" t="inlineStr">
        <is>
          <t>New</t>
        </is>
      </c>
      <c r="G772" s="4" t="inlineStr">
        <is>
          <t>WhatsApp</t>
        </is>
      </c>
      <c r="H772" s="4" t="inlineStr">
        <is>
          <t>Laser session, body</t>
        </is>
      </c>
      <c r="I772" s="9">
        <f>IF($H772="","",IFERROR(INDEX('Settings'!$J$10:$J$39,MATCH($H772,'Settings'!$I$10:$I$39,0)),""))</f>
        <v/>
      </c>
      <c r="J772" s="6" t="n">
        <v>1</v>
      </c>
      <c r="K772" s="8" t="n">
        <v>1200</v>
      </c>
      <c r="L772" s="8" t="n">
        <v>60</v>
      </c>
      <c r="M772" s="14">
        <f>IF($A772="","",$J772*$K772)</f>
        <v/>
      </c>
      <c r="N772" s="14">
        <f>IF($A772="","",$M772-$L772)</f>
        <v/>
      </c>
      <c r="O772" s="4" t="inlineStr">
        <is>
          <t>Payment link</t>
        </is>
      </c>
      <c r="P772" s="15">
        <f>IF($A772="","",DATE(YEAR($A772),MONTH($A772),1))</f>
        <v/>
      </c>
      <c r="Q772" s="16">
        <f>IF($H772="","",$J772*IFERROR(INDEX('Settings'!$L$10:$L$39,MATCH($H772,'Settings'!$I$10:$I$39,0)),0))</f>
        <v/>
      </c>
      <c r="R772" s="17">
        <f>IF($A772="","",$A772-WEEKDAY($A772,2)+1)</f>
        <v/>
      </c>
    </row>
    <row r="773">
      <c r="A773" s="5" t="n">
        <v>46266</v>
      </c>
      <c r="B773" s="4" t="inlineStr">
        <is>
          <t>North branch</t>
        </is>
      </c>
      <c r="C773" s="4" t="inlineStr">
        <is>
          <t>North 2</t>
        </is>
      </c>
      <c r="D773" s="4" t="inlineStr">
        <is>
          <t>Dr Layla Al Qahtani</t>
        </is>
      </c>
      <c r="E773" s="4" t="inlineStr">
        <is>
          <t>P-3187</t>
        </is>
      </c>
      <c r="F773" s="4" t="inlineStr">
        <is>
          <t>New</t>
        </is>
      </c>
      <c r="G773" s="4" t="inlineStr">
        <is>
          <t>Instagram</t>
        </is>
      </c>
      <c r="H773" s="4" t="inlineStr">
        <is>
          <t>Specialist consultation</t>
        </is>
      </c>
      <c r="I773" s="9">
        <f>IF($H773="","",IFERROR(INDEX('Settings'!$J$10:$J$39,MATCH($H773,'Settings'!$I$10:$I$39,0)),""))</f>
        <v/>
      </c>
      <c r="J773" s="6" t="n">
        <v>1</v>
      </c>
      <c r="K773" s="8" t="n">
        <v>350</v>
      </c>
      <c r="L773" s="8" t="n"/>
      <c r="M773" s="14">
        <f>IF($A773="","",$J773*$K773)</f>
        <v/>
      </c>
      <c r="N773" s="14">
        <f>IF($A773="","",$M773-$L773)</f>
        <v/>
      </c>
      <c r="O773" s="4" t="inlineStr">
        <is>
          <t>Card</t>
        </is>
      </c>
      <c r="P773" s="15">
        <f>IF($A773="","",DATE(YEAR($A773),MONTH($A773),1))</f>
        <v/>
      </c>
      <c r="Q773" s="16">
        <f>IF($H773="","",$J773*IFERROR(INDEX('Settings'!$L$10:$L$39,MATCH($H773,'Settings'!$I$10:$I$39,0)),0))</f>
        <v/>
      </c>
      <c r="R773" s="17">
        <f>IF($A773="","",$A773-WEEKDAY($A773,2)+1)</f>
        <v/>
      </c>
    </row>
    <row r="774">
      <c r="A774" s="5" t="n">
        <v>46267</v>
      </c>
      <c r="B774" s="4" t="inlineStr">
        <is>
          <t>Main branch</t>
        </is>
      </c>
      <c r="C774" s="4" t="inlineStr">
        <is>
          <t>Main 3</t>
        </is>
      </c>
      <c r="D774" s="4" t="inlineStr">
        <is>
          <t>Dr Sara Al Harbi</t>
        </is>
      </c>
      <c r="E774" s="4" t="inlineStr">
        <is>
          <t>P-2466</t>
        </is>
      </c>
      <c r="F774" s="4" t="inlineStr">
        <is>
          <t>Returning</t>
        </is>
      </c>
      <c r="G774" s="4" t="inlineStr">
        <is>
          <t>Walk-in</t>
        </is>
      </c>
      <c r="H774" s="4" t="inlineStr">
        <is>
          <t>Specialist consultation</t>
        </is>
      </c>
      <c r="I774" s="9">
        <f>IF($H774="","",IFERROR(INDEX('Settings'!$J$10:$J$39,MATCH($H774,'Settings'!$I$10:$I$39,0)),""))</f>
        <v/>
      </c>
      <c r="J774" s="6" t="n">
        <v>1</v>
      </c>
      <c r="K774" s="8" t="n">
        <v>350</v>
      </c>
      <c r="L774" s="8" t="n"/>
      <c r="M774" s="14">
        <f>IF($A774="","",$J774*$K774)</f>
        <v/>
      </c>
      <c r="N774" s="14">
        <f>IF($A774="","",$M774-$L774)</f>
        <v/>
      </c>
      <c r="O774" s="4" t="inlineStr">
        <is>
          <t>Cash</t>
        </is>
      </c>
      <c r="P774" s="15">
        <f>IF($A774="","",DATE(YEAR($A774),MONTH($A774),1))</f>
        <v/>
      </c>
      <c r="Q774" s="16">
        <f>IF($H774="","",$J774*IFERROR(INDEX('Settings'!$L$10:$L$39,MATCH($H774,'Settings'!$I$10:$I$39,0)),0))</f>
        <v/>
      </c>
      <c r="R774" s="17">
        <f>IF($A774="","",$A774-WEEKDAY($A774,2)+1)</f>
        <v/>
      </c>
    </row>
    <row r="775">
      <c r="A775" s="5" t="n">
        <v>46267</v>
      </c>
      <c r="B775" s="4" t="inlineStr">
        <is>
          <t>Main branch</t>
        </is>
      </c>
      <c r="C775" s="4" t="inlineStr">
        <is>
          <t>Main 3</t>
        </is>
      </c>
      <c r="D775" s="4" t="inlineStr">
        <is>
          <t>Dr Noura Al Subaie</t>
        </is>
      </c>
      <c r="E775" s="4" t="inlineStr">
        <is>
          <t>P-3357</t>
        </is>
      </c>
      <c r="F775" s="4" t="inlineStr">
        <is>
          <t>Returning</t>
        </is>
      </c>
      <c r="G775" s="4" t="inlineStr">
        <is>
          <t>Google</t>
        </is>
      </c>
      <c r="H775" s="4" t="inlineStr">
        <is>
          <t>Specialist consultation</t>
        </is>
      </c>
      <c r="I775" s="9">
        <f>IF($H775="","",IFERROR(INDEX('Settings'!$J$10:$J$39,MATCH($H775,'Settings'!$I$10:$I$39,0)),""))</f>
        <v/>
      </c>
      <c r="J775" s="6" t="n">
        <v>1</v>
      </c>
      <c r="K775" s="8" t="n">
        <v>350</v>
      </c>
      <c r="L775" s="8" t="n"/>
      <c r="M775" s="14">
        <f>IF($A775="","",$J775*$K775)</f>
        <v/>
      </c>
      <c r="N775" s="14">
        <f>IF($A775="","",$M775-$L775)</f>
        <v/>
      </c>
      <c r="O775" s="4" t="inlineStr">
        <is>
          <t>Payment link</t>
        </is>
      </c>
      <c r="P775" s="15">
        <f>IF($A775="","",DATE(YEAR($A775),MONTH($A775),1))</f>
        <v/>
      </c>
      <c r="Q775" s="16">
        <f>IF($H775="","",$J775*IFERROR(INDEX('Settings'!$L$10:$L$39,MATCH($H775,'Settings'!$I$10:$I$39,0)),0))</f>
        <v/>
      </c>
      <c r="R775" s="17">
        <f>IF($A775="","",$A775-WEEKDAY($A775,2)+1)</f>
        <v/>
      </c>
    </row>
    <row r="776">
      <c r="A776" s="5" t="n">
        <v>46267</v>
      </c>
      <c r="B776" s="4" t="inlineStr">
        <is>
          <t>North branch</t>
        </is>
      </c>
      <c r="C776" s="4" t="inlineStr">
        <is>
          <t>North 1</t>
        </is>
      </c>
      <c r="D776" s="4" t="inlineStr">
        <is>
          <t>Dr Mohamed Adel</t>
        </is>
      </c>
      <c r="E776" s="4" t="inlineStr">
        <is>
          <t>P-2672</t>
        </is>
      </c>
      <c r="F776" s="4" t="inlineStr">
        <is>
          <t>Returning</t>
        </is>
      </c>
      <c r="G776" s="4" t="inlineStr">
        <is>
          <t>Instagram</t>
        </is>
      </c>
      <c r="H776" s="4" t="inlineStr">
        <is>
          <t>Laser session, face</t>
        </is>
      </c>
      <c r="I776" s="9">
        <f>IF($H776="","",IFERROR(INDEX('Settings'!$J$10:$J$39,MATCH($H776,'Settings'!$I$10:$I$39,0)),""))</f>
        <v/>
      </c>
      <c r="J776" s="6" t="n">
        <v>1</v>
      </c>
      <c r="K776" s="8" t="n">
        <v>600</v>
      </c>
      <c r="L776" s="8" t="n">
        <v>120</v>
      </c>
      <c r="M776" s="14">
        <f>IF($A776="","",$J776*$K776)</f>
        <v/>
      </c>
      <c r="N776" s="14">
        <f>IF($A776="","",$M776-$L776)</f>
        <v/>
      </c>
      <c r="O776" s="4" t="inlineStr">
        <is>
          <t>Card</t>
        </is>
      </c>
      <c r="P776" s="15">
        <f>IF($A776="","",DATE(YEAR($A776),MONTH($A776),1))</f>
        <v/>
      </c>
      <c r="Q776" s="16">
        <f>IF($H776="","",$J776*IFERROR(INDEX('Settings'!$L$10:$L$39,MATCH($H776,'Settings'!$I$10:$I$39,0)),0))</f>
        <v/>
      </c>
      <c r="R776" s="17">
        <f>IF($A776="","",$A776-WEEKDAY($A776,2)+1)</f>
        <v/>
      </c>
    </row>
    <row r="777">
      <c r="A777" s="5" t="n">
        <v>46267</v>
      </c>
      <c r="B777" s="4" t="inlineStr">
        <is>
          <t>North branch</t>
        </is>
      </c>
      <c r="C777" s="4" t="inlineStr">
        <is>
          <t>North 1</t>
        </is>
      </c>
      <c r="D777" s="4" t="inlineStr">
        <is>
          <t>Dr Layla Al Qahtani</t>
        </is>
      </c>
      <c r="E777" s="4" t="inlineStr">
        <is>
          <t>P-2679</t>
        </is>
      </c>
      <c r="F777" s="4" t="inlineStr">
        <is>
          <t>Returning</t>
        </is>
      </c>
      <c r="G777" s="4" t="inlineStr">
        <is>
          <t>Instagram</t>
        </is>
      </c>
      <c r="H777" s="4" t="inlineStr">
        <is>
          <t>Filler injection</t>
        </is>
      </c>
      <c r="I777" s="9">
        <f>IF($H777="","",IFERROR(INDEX('Settings'!$J$10:$J$39,MATCH($H777,'Settings'!$I$10:$I$39,0)),""))</f>
        <v/>
      </c>
      <c r="J777" s="6" t="n">
        <v>1</v>
      </c>
      <c r="K777" s="8" t="n">
        <v>1800</v>
      </c>
      <c r="L777" s="8" t="n">
        <v>270</v>
      </c>
      <c r="M777" s="14">
        <f>IF($A777="","",$J777*$K777)</f>
        <v/>
      </c>
      <c r="N777" s="14">
        <f>IF($A777="","",$M777-$L777)</f>
        <v/>
      </c>
      <c r="O777" s="4" t="inlineStr">
        <is>
          <t>Insurance</t>
        </is>
      </c>
      <c r="P777" s="15">
        <f>IF($A777="","",DATE(YEAR($A777),MONTH($A777),1))</f>
        <v/>
      </c>
      <c r="Q777" s="16">
        <f>IF($H777="","",$J777*IFERROR(INDEX('Settings'!$L$10:$L$39,MATCH($H777,'Settings'!$I$10:$I$39,0)),0))</f>
        <v/>
      </c>
      <c r="R777" s="17">
        <f>IF($A777="","",$A777-WEEKDAY($A777,2)+1)</f>
        <v/>
      </c>
    </row>
    <row r="778">
      <c r="A778" s="5" t="n">
        <v>46267</v>
      </c>
      <c r="B778" s="4" t="inlineStr">
        <is>
          <t>North branch</t>
        </is>
      </c>
      <c r="C778" s="4" t="inlineStr">
        <is>
          <t>North 2</t>
        </is>
      </c>
      <c r="D778" s="4" t="inlineStr">
        <is>
          <t>Dr Mohamed Adel</t>
        </is>
      </c>
      <c r="E778" s="4" t="inlineStr">
        <is>
          <t>P-3458</t>
        </is>
      </c>
      <c r="F778" s="4" t="inlineStr">
        <is>
          <t>Returning</t>
        </is>
      </c>
      <c r="G778" s="4" t="inlineStr">
        <is>
          <t>Instagram</t>
        </is>
      </c>
      <c r="H778" s="4" t="inlineStr">
        <is>
          <t>Sunscreen cream</t>
        </is>
      </c>
      <c r="I778" s="9">
        <f>IF($H778="","",IFERROR(INDEX('Settings'!$J$10:$J$39,MATCH($H778,'Settings'!$I$10:$I$39,0)),""))</f>
        <v/>
      </c>
      <c r="J778" s="6" t="n">
        <v>1</v>
      </c>
      <c r="K778" s="8" t="n">
        <v>120</v>
      </c>
      <c r="L778" s="8" t="n">
        <v>20</v>
      </c>
      <c r="M778" s="14">
        <f>IF($A778="","",$J778*$K778)</f>
        <v/>
      </c>
      <c r="N778" s="14">
        <f>IF($A778="","",$M778-$L778)</f>
        <v/>
      </c>
      <c r="O778" s="4" t="inlineStr">
        <is>
          <t>Cash</t>
        </is>
      </c>
      <c r="P778" s="15">
        <f>IF($A778="","",DATE(YEAR($A778),MONTH($A778),1))</f>
        <v/>
      </c>
      <c r="Q778" s="16">
        <f>IF($H778="","",$J778*IFERROR(INDEX('Settings'!$L$10:$L$39,MATCH($H778,'Settings'!$I$10:$I$39,0)),0))</f>
        <v/>
      </c>
      <c r="R778" s="17">
        <f>IF($A778="","",$A778-WEEKDAY($A778,2)+1)</f>
        <v/>
      </c>
    </row>
    <row r="779">
      <c r="A779" s="5" t="n">
        <v>46267</v>
      </c>
      <c r="B779" s="4" t="inlineStr">
        <is>
          <t>North branch</t>
        </is>
      </c>
      <c r="C779" s="4" t="inlineStr">
        <is>
          <t>North 2</t>
        </is>
      </c>
      <c r="D779" s="4" t="inlineStr">
        <is>
          <t>Dr Khaled Youssef</t>
        </is>
      </c>
      <c r="E779" s="4" t="inlineStr">
        <is>
          <t>P-3057</t>
        </is>
      </c>
      <c r="F779" s="4" t="inlineStr">
        <is>
          <t>Returning</t>
        </is>
      </c>
      <c r="G779" s="4" t="inlineStr">
        <is>
          <t>Walk-in</t>
        </is>
      </c>
      <c r="H779" s="4" t="inlineStr">
        <is>
          <t>Physiotherapy session</t>
        </is>
      </c>
      <c r="I779" s="9">
        <f>IF($H779="","",IFERROR(INDEX('Settings'!$J$10:$J$39,MATCH($H779,'Settings'!$I$10:$I$39,0)),""))</f>
        <v/>
      </c>
      <c r="J779" s="6" t="n">
        <v>1</v>
      </c>
      <c r="K779" s="8" t="n">
        <v>300</v>
      </c>
      <c r="L779" s="8" t="n"/>
      <c r="M779" s="14">
        <f>IF($A779="","",$J779*$K779)</f>
        <v/>
      </c>
      <c r="N779" s="14">
        <f>IF($A779="","",$M779-$L779)</f>
        <v/>
      </c>
      <c r="O779" s="4" t="inlineStr">
        <is>
          <t>Card</t>
        </is>
      </c>
      <c r="P779" s="15">
        <f>IF($A779="","",DATE(YEAR($A779),MONTH($A779),1))</f>
        <v/>
      </c>
      <c r="Q779" s="16">
        <f>IF($H779="","",$J779*IFERROR(INDEX('Settings'!$L$10:$L$39,MATCH($H779,'Settings'!$I$10:$I$39,0)),0))</f>
        <v/>
      </c>
      <c r="R779" s="17">
        <f>IF($A779="","",$A779-WEEKDAY($A779,2)+1)</f>
        <v/>
      </c>
    </row>
    <row r="780">
      <c r="A780" s="5" t="n">
        <v>46268</v>
      </c>
      <c r="B780" s="4" t="inlineStr">
        <is>
          <t>Main branch</t>
        </is>
      </c>
      <c r="C780" s="4" t="inlineStr">
        <is>
          <t>Main 1</t>
        </is>
      </c>
      <c r="D780" s="4" t="inlineStr">
        <is>
          <t>Dr Sara Al Harbi</t>
        </is>
      </c>
      <c r="E780" s="4" t="inlineStr">
        <is>
          <t>P-2432</t>
        </is>
      </c>
      <c r="F780" s="4" t="inlineStr">
        <is>
          <t>Returning</t>
        </is>
      </c>
      <c r="G780" s="4" t="inlineStr">
        <is>
          <t>Instagram</t>
        </is>
      </c>
      <c r="H780" s="4" t="inlineStr">
        <is>
          <t>Sunscreen cream</t>
        </is>
      </c>
      <c r="I780" s="9">
        <f>IF($H780="","",IFERROR(INDEX('Settings'!$J$10:$J$39,MATCH($H780,'Settings'!$I$10:$I$39,0)),""))</f>
        <v/>
      </c>
      <c r="J780" s="6" t="n">
        <v>1</v>
      </c>
      <c r="K780" s="8" t="n">
        <v>120</v>
      </c>
      <c r="L780" s="8" t="n">
        <v>20</v>
      </c>
      <c r="M780" s="14">
        <f>IF($A780="","",$J780*$K780)</f>
        <v/>
      </c>
      <c r="N780" s="14">
        <f>IF($A780="","",$M780-$L780)</f>
        <v/>
      </c>
      <c r="O780" s="4" t="inlineStr">
        <is>
          <t>Cash</t>
        </is>
      </c>
      <c r="P780" s="15">
        <f>IF($A780="","",DATE(YEAR($A780),MONTH($A780),1))</f>
        <v/>
      </c>
      <c r="Q780" s="16">
        <f>IF($H780="","",$J780*IFERROR(INDEX('Settings'!$L$10:$L$39,MATCH($H780,'Settings'!$I$10:$I$39,0)),0))</f>
        <v/>
      </c>
      <c r="R780" s="17">
        <f>IF($A780="","",$A780-WEEKDAY($A780,2)+1)</f>
        <v/>
      </c>
    </row>
    <row r="781">
      <c r="A781" s="5" t="n">
        <v>46268</v>
      </c>
      <c r="B781" s="4" t="inlineStr">
        <is>
          <t>Main branch</t>
        </is>
      </c>
      <c r="C781" s="4" t="inlineStr">
        <is>
          <t>Main 3</t>
        </is>
      </c>
      <c r="D781" s="4" t="inlineStr">
        <is>
          <t>Dr Noura Al Subaie</t>
        </is>
      </c>
      <c r="E781" s="4" t="inlineStr">
        <is>
          <t>P-2789</t>
        </is>
      </c>
      <c r="F781" s="4" t="inlineStr">
        <is>
          <t>Returning</t>
        </is>
      </c>
      <c r="G781" s="4" t="inlineStr">
        <is>
          <t>WhatsApp</t>
        </is>
      </c>
      <c r="H781" s="4" t="inlineStr">
        <is>
          <t>Physiotherapy session</t>
        </is>
      </c>
      <c r="I781" s="9">
        <f>IF($H781="","",IFERROR(INDEX('Settings'!$J$10:$J$39,MATCH($H781,'Settings'!$I$10:$I$39,0)),""))</f>
        <v/>
      </c>
      <c r="J781" s="6" t="n">
        <v>1</v>
      </c>
      <c r="K781" s="8" t="n">
        <v>300</v>
      </c>
      <c r="L781" s="8" t="n"/>
      <c r="M781" s="14">
        <f>IF($A781="","",$J781*$K781)</f>
        <v/>
      </c>
      <c r="N781" s="14">
        <f>IF($A781="","",$M781-$L781)</f>
        <v/>
      </c>
      <c r="O781" s="4" t="inlineStr">
        <is>
          <t>Cash</t>
        </is>
      </c>
      <c r="P781" s="15">
        <f>IF($A781="","",DATE(YEAR($A781),MONTH($A781),1))</f>
        <v/>
      </c>
      <c r="Q781" s="16">
        <f>IF($H781="","",$J781*IFERROR(INDEX('Settings'!$L$10:$L$39,MATCH($H781,'Settings'!$I$10:$I$39,0)),0))</f>
        <v/>
      </c>
      <c r="R781" s="17">
        <f>IF($A781="","",$A781-WEEKDAY($A781,2)+1)</f>
        <v/>
      </c>
    </row>
    <row r="782">
      <c r="A782" s="5" t="n">
        <v>46268</v>
      </c>
      <c r="B782" s="4" t="inlineStr">
        <is>
          <t>Main branch</t>
        </is>
      </c>
      <c r="C782" s="4" t="inlineStr">
        <is>
          <t>Main 3</t>
        </is>
      </c>
      <c r="D782" s="4" t="inlineStr">
        <is>
          <t>Dr Sara Al Harbi</t>
        </is>
      </c>
      <c r="E782" s="4" t="inlineStr">
        <is>
          <t>P-2517</t>
        </is>
      </c>
      <c r="F782" s="4" t="inlineStr">
        <is>
          <t>Returning</t>
        </is>
      </c>
      <c r="G782" s="4" t="inlineStr">
        <is>
          <t>Google</t>
        </is>
      </c>
      <c r="H782" s="4" t="inlineStr">
        <is>
          <t>Facial cleansing</t>
        </is>
      </c>
      <c r="I782" s="9">
        <f>IF($H782="","",IFERROR(INDEX('Settings'!$J$10:$J$39,MATCH($H782,'Settings'!$I$10:$I$39,0)),""))</f>
        <v/>
      </c>
      <c r="J782" s="6" t="n">
        <v>1</v>
      </c>
      <c r="K782" s="8" t="n">
        <v>400</v>
      </c>
      <c r="L782" s="8" t="n">
        <v>80</v>
      </c>
      <c r="M782" s="14">
        <f>IF($A782="","",$J782*$K782)</f>
        <v/>
      </c>
      <c r="N782" s="14">
        <f>IF($A782="","",$M782-$L782)</f>
        <v/>
      </c>
      <c r="O782" s="4" t="inlineStr">
        <is>
          <t>Cash</t>
        </is>
      </c>
      <c r="P782" s="15">
        <f>IF($A782="","",DATE(YEAR($A782),MONTH($A782),1))</f>
        <v/>
      </c>
      <c r="Q782" s="16">
        <f>IF($H782="","",$J782*IFERROR(INDEX('Settings'!$L$10:$L$39,MATCH($H782,'Settings'!$I$10:$I$39,0)),0))</f>
        <v/>
      </c>
      <c r="R782" s="17">
        <f>IF($A782="","",$A782-WEEKDAY($A782,2)+1)</f>
        <v/>
      </c>
    </row>
    <row r="783">
      <c r="A783" s="5" t="n">
        <v>46268</v>
      </c>
      <c r="B783" s="4" t="inlineStr">
        <is>
          <t>Main branch</t>
        </is>
      </c>
      <c r="C783" s="4" t="inlineStr">
        <is>
          <t>Main 3</t>
        </is>
      </c>
      <c r="D783" s="4" t="inlineStr">
        <is>
          <t>Dr Ahmed Mansour</t>
        </is>
      </c>
      <c r="E783" s="4" t="inlineStr">
        <is>
          <t>P-2104</t>
        </is>
      </c>
      <c r="F783" s="4" t="inlineStr">
        <is>
          <t>New</t>
        </is>
      </c>
      <c r="G783" s="4" t="inlineStr">
        <is>
          <t>Referral</t>
        </is>
      </c>
      <c r="H783" s="4" t="inlineStr">
        <is>
          <t>Follow-up visit</t>
        </is>
      </c>
      <c r="I783" s="9">
        <f>IF($H783="","",IFERROR(INDEX('Settings'!$J$10:$J$39,MATCH($H783,'Settings'!$I$10:$I$39,0)),""))</f>
        <v/>
      </c>
      <c r="J783" s="6" t="n">
        <v>1</v>
      </c>
      <c r="K783" s="8" t="n">
        <v>150</v>
      </c>
      <c r="L783" s="8" t="n"/>
      <c r="M783" s="14">
        <f>IF($A783="","",$J783*$K783)</f>
        <v/>
      </c>
      <c r="N783" s="14">
        <f>IF($A783="","",$M783-$L783)</f>
        <v/>
      </c>
      <c r="O783" s="4" t="inlineStr">
        <is>
          <t>Insurance</t>
        </is>
      </c>
      <c r="P783" s="15">
        <f>IF($A783="","",DATE(YEAR($A783),MONTH($A783),1))</f>
        <v/>
      </c>
      <c r="Q783" s="16">
        <f>IF($H783="","",$J783*IFERROR(INDEX('Settings'!$L$10:$L$39,MATCH($H783,'Settings'!$I$10:$I$39,0)),0))</f>
        <v/>
      </c>
      <c r="R783" s="17">
        <f>IF($A783="","",$A783-WEEKDAY($A783,2)+1)</f>
        <v/>
      </c>
    </row>
    <row r="784">
      <c r="A784" s="5" t="n">
        <v>46268</v>
      </c>
      <c r="B784" s="4" t="inlineStr">
        <is>
          <t>Main branch</t>
        </is>
      </c>
      <c r="C784" s="4" t="inlineStr">
        <is>
          <t>Main 4</t>
        </is>
      </c>
      <c r="D784" s="4" t="inlineStr">
        <is>
          <t>Dr Ahmed Mansour</t>
        </is>
      </c>
      <c r="E784" s="4" t="inlineStr">
        <is>
          <t>P-2444</t>
        </is>
      </c>
      <c r="F784" s="4" t="inlineStr">
        <is>
          <t>Returning</t>
        </is>
      </c>
      <c r="G784" s="4" t="inlineStr">
        <is>
          <t>Instagram</t>
        </is>
      </c>
      <c r="H784" s="4" t="inlineStr">
        <is>
          <t>Physiotherapy session</t>
        </is>
      </c>
      <c r="I784" s="9">
        <f>IF($H784="","",IFERROR(INDEX('Settings'!$J$10:$J$39,MATCH($H784,'Settings'!$I$10:$I$39,0)),""))</f>
        <v/>
      </c>
      <c r="J784" s="6" t="n">
        <v>1</v>
      </c>
      <c r="K784" s="8" t="n">
        <v>300</v>
      </c>
      <c r="L784" s="8" t="n">
        <v>60</v>
      </c>
      <c r="M784" s="14">
        <f>IF($A784="","",$J784*$K784)</f>
        <v/>
      </c>
      <c r="N784" s="14">
        <f>IF($A784="","",$M784-$L784)</f>
        <v/>
      </c>
      <c r="O784" s="4" t="inlineStr">
        <is>
          <t>Card</t>
        </is>
      </c>
      <c r="P784" s="15">
        <f>IF($A784="","",DATE(YEAR($A784),MONTH($A784),1))</f>
        <v/>
      </c>
      <c r="Q784" s="16">
        <f>IF($H784="","",$J784*IFERROR(INDEX('Settings'!$L$10:$L$39,MATCH($H784,'Settings'!$I$10:$I$39,0)),0))</f>
        <v/>
      </c>
      <c r="R784" s="17">
        <f>IF($A784="","",$A784-WEEKDAY($A784,2)+1)</f>
        <v/>
      </c>
    </row>
    <row r="785">
      <c r="A785" s="5" t="n">
        <v>46268</v>
      </c>
      <c r="B785" s="4" t="inlineStr">
        <is>
          <t>Main branch</t>
        </is>
      </c>
      <c r="C785" s="4" t="inlineStr">
        <is>
          <t>Main 4</t>
        </is>
      </c>
      <c r="D785" s="4" t="inlineStr">
        <is>
          <t>Dr Ahmed Mansour</t>
        </is>
      </c>
      <c r="E785" s="4" t="inlineStr">
        <is>
          <t>P-2608</t>
        </is>
      </c>
      <c r="F785" s="4" t="inlineStr">
        <is>
          <t>Returning</t>
        </is>
      </c>
      <c r="G785" s="4" t="inlineStr">
        <is>
          <t>WhatsApp</t>
        </is>
      </c>
      <c r="H785" s="4" t="inlineStr">
        <is>
          <t>Botulinum toxin</t>
        </is>
      </c>
      <c r="I785" s="9">
        <f>IF($H785="","",IFERROR(INDEX('Settings'!$J$10:$J$39,MATCH($H785,'Settings'!$I$10:$I$39,0)),""))</f>
        <v/>
      </c>
      <c r="J785" s="6" t="n">
        <v>1</v>
      </c>
      <c r="K785" s="8" t="n">
        <v>1500</v>
      </c>
      <c r="L785" s="8" t="n"/>
      <c r="M785" s="14">
        <f>IF($A785="","",$J785*$K785)</f>
        <v/>
      </c>
      <c r="N785" s="14">
        <f>IF($A785="","",$M785-$L785)</f>
        <v/>
      </c>
      <c r="O785" s="4" t="inlineStr">
        <is>
          <t>Card</t>
        </is>
      </c>
      <c r="P785" s="15">
        <f>IF($A785="","",DATE(YEAR($A785),MONTH($A785),1))</f>
        <v/>
      </c>
      <c r="Q785" s="16">
        <f>IF($H785="","",$J785*IFERROR(INDEX('Settings'!$L$10:$L$39,MATCH($H785,'Settings'!$I$10:$I$39,0)),0))</f>
        <v/>
      </c>
      <c r="R785" s="17">
        <f>IF($A785="","",$A785-WEEKDAY($A785,2)+1)</f>
        <v/>
      </c>
    </row>
    <row r="786">
      <c r="A786" s="5" t="n">
        <v>46268</v>
      </c>
      <c r="B786" s="4" t="inlineStr">
        <is>
          <t>Main branch</t>
        </is>
      </c>
      <c r="C786" s="4" t="inlineStr">
        <is>
          <t>Main 4</t>
        </is>
      </c>
      <c r="D786" s="4" t="inlineStr">
        <is>
          <t>Dr Sara Al Harbi</t>
        </is>
      </c>
      <c r="E786" s="4" t="inlineStr">
        <is>
          <t>P-2850</t>
        </is>
      </c>
      <c r="F786" s="4" t="inlineStr">
        <is>
          <t>Returning</t>
        </is>
      </c>
      <c r="G786" s="4" t="inlineStr">
        <is>
          <t>Instagram</t>
        </is>
      </c>
      <c r="H786" s="4" t="inlineStr">
        <is>
          <t>Specialist consultation</t>
        </is>
      </c>
      <c r="I786" s="9">
        <f>IF($H786="","",IFERROR(INDEX('Settings'!$J$10:$J$39,MATCH($H786,'Settings'!$I$10:$I$39,0)),""))</f>
        <v/>
      </c>
      <c r="J786" s="6" t="n">
        <v>1</v>
      </c>
      <c r="K786" s="8" t="n">
        <v>350</v>
      </c>
      <c r="L786" s="8" t="n"/>
      <c r="M786" s="14">
        <f>IF($A786="","",$J786*$K786)</f>
        <v/>
      </c>
      <c r="N786" s="14">
        <f>IF($A786="","",$M786-$L786)</f>
        <v/>
      </c>
      <c r="O786" s="4" t="inlineStr">
        <is>
          <t>Card</t>
        </is>
      </c>
      <c r="P786" s="15">
        <f>IF($A786="","",DATE(YEAR($A786),MONTH($A786),1))</f>
        <v/>
      </c>
      <c r="Q786" s="16">
        <f>IF($H786="","",$J786*IFERROR(INDEX('Settings'!$L$10:$L$39,MATCH($H786,'Settings'!$I$10:$I$39,0)),0))</f>
        <v/>
      </c>
      <c r="R786" s="17">
        <f>IF($A786="","",$A786-WEEKDAY($A786,2)+1)</f>
        <v/>
      </c>
    </row>
    <row r="787">
      <c r="A787" s="5" t="n">
        <v>46268</v>
      </c>
      <c r="B787" s="4" t="inlineStr">
        <is>
          <t>Main branch</t>
        </is>
      </c>
      <c r="C787" s="4" t="inlineStr">
        <is>
          <t>Main 4</t>
        </is>
      </c>
      <c r="D787" s="4" t="inlineStr">
        <is>
          <t>Dr Ahmed Mansour</t>
        </is>
      </c>
      <c r="E787" s="4" t="inlineStr">
        <is>
          <t>P-2507</t>
        </is>
      </c>
      <c r="F787" s="4" t="inlineStr">
        <is>
          <t>Returning</t>
        </is>
      </c>
      <c r="G787" s="4" t="inlineStr">
        <is>
          <t>Instagram</t>
        </is>
      </c>
      <c r="H787" s="4" t="inlineStr">
        <is>
          <t>Physiotherapy session</t>
        </is>
      </c>
      <c r="I787" s="9">
        <f>IF($H787="","",IFERROR(INDEX('Settings'!$J$10:$J$39,MATCH($H787,'Settings'!$I$10:$I$39,0)),""))</f>
        <v/>
      </c>
      <c r="J787" s="6" t="n">
        <v>1</v>
      </c>
      <c r="K787" s="8" t="n">
        <v>300</v>
      </c>
      <c r="L787" s="8" t="n">
        <v>60</v>
      </c>
      <c r="M787" s="14">
        <f>IF($A787="","",$J787*$K787)</f>
        <v/>
      </c>
      <c r="N787" s="14">
        <f>IF($A787="","",$M787-$L787)</f>
        <v/>
      </c>
      <c r="O787" s="4" t="inlineStr">
        <is>
          <t>Cash</t>
        </is>
      </c>
      <c r="P787" s="15">
        <f>IF($A787="","",DATE(YEAR($A787),MONTH($A787),1))</f>
        <v/>
      </c>
      <c r="Q787" s="16">
        <f>IF($H787="","",$J787*IFERROR(INDEX('Settings'!$L$10:$L$39,MATCH($H787,'Settings'!$I$10:$I$39,0)),0))</f>
        <v/>
      </c>
      <c r="R787" s="17">
        <f>IF($A787="","",$A787-WEEKDAY($A787,2)+1)</f>
        <v/>
      </c>
    </row>
    <row r="788">
      <c r="A788" s="5" t="n">
        <v>46268</v>
      </c>
      <c r="B788" s="4" t="inlineStr">
        <is>
          <t>North branch</t>
        </is>
      </c>
      <c r="C788" s="4" t="inlineStr">
        <is>
          <t>North 1</t>
        </is>
      </c>
      <c r="D788" s="4" t="inlineStr">
        <is>
          <t>Dr Layla Al Qahtani</t>
        </is>
      </c>
      <c r="E788" s="4" t="inlineStr">
        <is>
          <t>P-2344</t>
        </is>
      </c>
      <c r="F788" s="4" t="inlineStr">
        <is>
          <t>New</t>
        </is>
      </c>
      <c r="G788" s="4" t="inlineStr">
        <is>
          <t>Google</t>
        </is>
      </c>
      <c r="H788" s="4" t="inlineStr">
        <is>
          <t>Facial cleansing</t>
        </is>
      </c>
      <c r="I788" s="9">
        <f>IF($H788="","",IFERROR(INDEX('Settings'!$J$10:$J$39,MATCH($H788,'Settings'!$I$10:$I$39,0)),""))</f>
        <v/>
      </c>
      <c r="J788" s="6" t="n">
        <v>1</v>
      </c>
      <c r="K788" s="8" t="n">
        <v>400</v>
      </c>
      <c r="L788" s="8" t="n">
        <v>80</v>
      </c>
      <c r="M788" s="14">
        <f>IF($A788="","",$J788*$K788)</f>
        <v/>
      </c>
      <c r="N788" s="14">
        <f>IF($A788="","",$M788-$L788)</f>
        <v/>
      </c>
      <c r="O788" s="4" t="inlineStr">
        <is>
          <t>Card</t>
        </is>
      </c>
      <c r="P788" s="15">
        <f>IF($A788="","",DATE(YEAR($A788),MONTH($A788),1))</f>
        <v/>
      </c>
      <c r="Q788" s="16">
        <f>IF($H788="","",$J788*IFERROR(INDEX('Settings'!$L$10:$L$39,MATCH($H788,'Settings'!$I$10:$I$39,0)),0))</f>
        <v/>
      </c>
      <c r="R788" s="17">
        <f>IF($A788="","",$A788-WEEKDAY($A788,2)+1)</f>
        <v/>
      </c>
    </row>
    <row r="789">
      <c r="A789" s="5" t="n">
        <v>46268</v>
      </c>
      <c r="B789" s="4" t="inlineStr">
        <is>
          <t>North branch</t>
        </is>
      </c>
      <c r="C789" s="4" t="inlineStr">
        <is>
          <t>North 1</t>
        </is>
      </c>
      <c r="D789" s="4" t="inlineStr">
        <is>
          <t>Dr Layla Al Qahtani</t>
        </is>
      </c>
      <c r="E789" s="4" t="inlineStr">
        <is>
          <t>P-2821</t>
        </is>
      </c>
      <c r="F789" s="4" t="inlineStr">
        <is>
          <t>New</t>
        </is>
      </c>
      <c r="G789" s="4" t="inlineStr">
        <is>
          <t>Walk-in</t>
        </is>
      </c>
      <c r="H789" s="4" t="inlineStr">
        <is>
          <t>Specialist consultation</t>
        </is>
      </c>
      <c r="I789" s="9">
        <f>IF($H789="","",IFERROR(INDEX('Settings'!$J$10:$J$39,MATCH($H789,'Settings'!$I$10:$I$39,0)),""))</f>
        <v/>
      </c>
      <c r="J789" s="6" t="n">
        <v>1</v>
      </c>
      <c r="K789" s="8" t="n">
        <v>350</v>
      </c>
      <c r="L789" s="8" t="n"/>
      <c r="M789" s="14">
        <f>IF($A789="","",$J789*$K789)</f>
        <v/>
      </c>
      <c r="N789" s="14">
        <f>IF($A789="","",$M789-$L789)</f>
        <v/>
      </c>
      <c r="O789" s="4" t="inlineStr">
        <is>
          <t>Cash</t>
        </is>
      </c>
      <c r="P789" s="15">
        <f>IF($A789="","",DATE(YEAR($A789),MONTH($A789),1))</f>
        <v/>
      </c>
      <c r="Q789" s="16">
        <f>IF($H789="","",$J789*IFERROR(INDEX('Settings'!$L$10:$L$39,MATCH($H789,'Settings'!$I$10:$I$39,0)),0))</f>
        <v/>
      </c>
      <c r="R789" s="17">
        <f>IF($A789="","",$A789-WEEKDAY($A789,2)+1)</f>
        <v/>
      </c>
    </row>
    <row r="790">
      <c r="A790" s="5" t="n">
        <v>46268</v>
      </c>
      <c r="B790" s="4" t="inlineStr">
        <is>
          <t>North branch</t>
        </is>
      </c>
      <c r="C790" s="4" t="inlineStr">
        <is>
          <t>North 1</t>
        </is>
      </c>
      <c r="D790" s="4" t="inlineStr">
        <is>
          <t>Dr Khaled Youssef</t>
        </is>
      </c>
      <c r="E790" s="4" t="inlineStr">
        <is>
          <t>P-2159</t>
        </is>
      </c>
      <c r="F790" s="4" t="inlineStr">
        <is>
          <t>New</t>
        </is>
      </c>
      <c r="G790" s="4" t="inlineStr">
        <is>
          <t>Referral</t>
        </is>
      </c>
      <c r="H790" s="4" t="inlineStr">
        <is>
          <t>Laser session, body</t>
        </is>
      </c>
      <c r="I790" s="9">
        <f>IF($H790="","",IFERROR(INDEX('Settings'!$J$10:$J$39,MATCH($H790,'Settings'!$I$10:$I$39,0)),""))</f>
        <v/>
      </c>
      <c r="J790" s="6" t="n">
        <v>1</v>
      </c>
      <c r="K790" s="8" t="n">
        <v>1200</v>
      </c>
      <c r="L790" s="8" t="n">
        <v>240</v>
      </c>
      <c r="M790" s="14">
        <f>IF($A790="","",$J790*$K790)</f>
        <v/>
      </c>
      <c r="N790" s="14">
        <f>IF($A790="","",$M790-$L790)</f>
        <v/>
      </c>
      <c r="O790" s="4" t="inlineStr">
        <is>
          <t>Card</t>
        </is>
      </c>
      <c r="P790" s="15">
        <f>IF($A790="","",DATE(YEAR($A790),MONTH($A790),1))</f>
        <v/>
      </c>
      <c r="Q790" s="16">
        <f>IF($H790="","",$J790*IFERROR(INDEX('Settings'!$L$10:$L$39,MATCH($H790,'Settings'!$I$10:$I$39,0)),0))</f>
        <v/>
      </c>
      <c r="R790" s="17">
        <f>IF($A790="","",$A790-WEEKDAY($A790,2)+1)</f>
        <v/>
      </c>
    </row>
    <row r="791">
      <c r="A791" s="5" t="n">
        <v>46268</v>
      </c>
      <c r="B791" s="4" t="inlineStr">
        <is>
          <t>North branch</t>
        </is>
      </c>
      <c r="C791" s="4" t="inlineStr">
        <is>
          <t>North 1</t>
        </is>
      </c>
      <c r="D791" s="4" t="inlineStr">
        <is>
          <t>Dr Mohamed Adel</t>
        </is>
      </c>
      <c r="E791" s="4" t="inlineStr">
        <is>
          <t>P-3233</t>
        </is>
      </c>
      <c r="F791" s="4" t="inlineStr">
        <is>
          <t>New</t>
        </is>
      </c>
      <c r="G791" s="4" t="inlineStr">
        <is>
          <t>Walk-in</t>
        </is>
      </c>
      <c r="H791" s="4" t="inlineStr">
        <is>
          <t>Physiotherapy session</t>
        </is>
      </c>
      <c r="I791" s="9">
        <f>IF($H791="","",IFERROR(INDEX('Settings'!$J$10:$J$39,MATCH($H791,'Settings'!$I$10:$I$39,0)),""))</f>
        <v/>
      </c>
      <c r="J791" s="6" t="n">
        <v>1</v>
      </c>
      <c r="K791" s="8" t="n">
        <v>300</v>
      </c>
      <c r="L791" s="8" t="n">
        <v>60</v>
      </c>
      <c r="M791" s="14">
        <f>IF($A791="","",$J791*$K791)</f>
        <v/>
      </c>
      <c r="N791" s="14">
        <f>IF($A791="","",$M791-$L791)</f>
        <v/>
      </c>
      <c r="O791" s="4" t="inlineStr">
        <is>
          <t>Cash</t>
        </is>
      </c>
      <c r="P791" s="15">
        <f>IF($A791="","",DATE(YEAR($A791),MONTH($A791),1))</f>
        <v/>
      </c>
      <c r="Q791" s="16">
        <f>IF($H791="","",$J791*IFERROR(INDEX('Settings'!$L$10:$L$39,MATCH($H791,'Settings'!$I$10:$I$39,0)),0))</f>
        <v/>
      </c>
      <c r="R791" s="17">
        <f>IF($A791="","",$A791-WEEKDAY($A791,2)+1)</f>
        <v/>
      </c>
    </row>
    <row r="792">
      <c r="A792" s="5" t="n">
        <v>46268</v>
      </c>
      <c r="B792" s="4" t="inlineStr">
        <is>
          <t>North branch</t>
        </is>
      </c>
      <c r="C792" s="4" t="inlineStr">
        <is>
          <t>North 1</t>
        </is>
      </c>
      <c r="D792" s="4" t="inlineStr">
        <is>
          <t>Dr Layla Al Qahtani</t>
        </is>
      </c>
      <c r="E792" s="4" t="inlineStr">
        <is>
          <t>P-2509</t>
        </is>
      </c>
      <c r="F792" s="4" t="inlineStr">
        <is>
          <t>Returning</t>
        </is>
      </c>
      <c r="G792" s="4" t="inlineStr">
        <is>
          <t>WhatsApp</t>
        </is>
      </c>
      <c r="H792" s="4" t="inlineStr">
        <is>
          <t>Laser session, body</t>
        </is>
      </c>
      <c r="I792" s="9">
        <f>IF($H792="","",IFERROR(INDEX('Settings'!$J$10:$J$39,MATCH($H792,'Settings'!$I$10:$I$39,0)),""))</f>
        <v/>
      </c>
      <c r="J792" s="6" t="n">
        <v>1</v>
      </c>
      <c r="K792" s="8" t="n">
        <v>1200</v>
      </c>
      <c r="L792" s="8" t="n">
        <v>60</v>
      </c>
      <c r="M792" s="14">
        <f>IF($A792="","",$J792*$K792)</f>
        <v/>
      </c>
      <c r="N792" s="14">
        <f>IF($A792="","",$M792-$L792)</f>
        <v/>
      </c>
      <c r="O792" s="4" t="inlineStr">
        <is>
          <t>Insurance</t>
        </is>
      </c>
      <c r="P792" s="15">
        <f>IF($A792="","",DATE(YEAR($A792),MONTH($A792),1))</f>
        <v/>
      </c>
      <c r="Q792" s="16">
        <f>IF($H792="","",$J792*IFERROR(INDEX('Settings'!$L$10:$L$39,MATCH($H792,'Settings'!$I$10:$I$39,0)),0))</f>
        <v/>
      </c>
      <c r="R792" s="17">
        <f>IF($A792="","",$A792-WEEKDAY($A792,2)+1)</f>
        <v/>
      </c>
    </row>
    <row r="793">
      <c r="A793" s="5" t="n">
        <v>46268</v>
      </c>
      <c r="B793" s="4" t="inlineStr">
        <is>
          <t>North branch</t>
        </is>
      </c>
      <c r="C793" s="4" t="inlineStr">
        <is>
          <t>North 1</t>
        </is>
      </c>
      <c r="D793" s="4" t="inlineStr">
        <is>
          <t>Dr Khaled Youssef</t>
        </is>
      </c>
      <c r="E793" s="4" t="inlineStr">
        <is>
          <t>P-2630</t>
        </is>
      </c>
      <c r="F793" s="4" t="inlineStr">
        <is>
          <t>New</t>
        </is>
      </c>
      <c r="G793" s="4" t="inlineStr">
        <is>
          <t>Instagram</t>
        </is>
      </c>
      <c r="H793" s="4" t="inlineStr">
        <is>
          <t>Chemical peel</t>
        </is>
      </c>
      <c r="I793" s="9">
        <f>IF($H793="","",IFERROR(INDEX('Settings'!$J$10:$J$39,MATCH($H793,'Settings'!$I$10:$I$39,0)),""))</f>
        <v/>
      </c>
      <c r="J793" s="6" t="n">
        <v>1</v>
      </c>
      <c r="K793" s="8" t="n">
        <v>800</v>
      </c>
      <c r="L793" s="8" t="n"/>
      <c r="M793" s="14">
        <f>IF($A793="","",$J793*$K793)</f>
        <v/>
      </c>
      <c r="N793" s="14">
        <f>IF($A793="","",$M793-$L793)</f>
        <v/>
      </c>
      <c r="O793" s="4" t="inlineStr">
        <is>
          <t>Cash</t>
        </is>
      </c>
      <c r="P793" s="15">
        <f>IF($A793="","",DATE(YEAR($A793),MONTH($A793),1))</f>
        <v/>
      </c>
      <c r="Q793" s="16">
        <f>IF($H793="","",$J793*IFERROR(INDEX('Settings'!$L$10:$L$39,MATCH($H793,'Settings'!$I$10:$I$39,0)),0))</f>
        <v/>
      </c>
      <c r="R793" s="17">
        <f>IF($A793="","",$A793-WEEKDAY($A793,2)+1)</f>
        <v/>
      </c>
    </row>
    <row r="794">
      <c r="A794" s="5" t="n">
        <v>46270</v>
      </c>
      <c r="B794" s="4" t="inlineStr">
        <is>
          <t>Main branch</t>
        </is>
      </c>
      <c r="C794" s="4" t="inlineStr">
        <is>
          <t>Main 1</t>
        </is>
      </c>
      <c r="D794" s="4" t="inlineStr">
        <is>
          <t>Dr Ahmed Mansour</t>
        </is>
      </c>
      <c r="E794" s="4" t="inlineStr">
        <is>
          <t>P-3366</t>
        </is>
      </c>
      <c r="F794" s="4" t="inlineStr">
        <is>
          <t>New</t>
        </is>
      </c>
      <c r="G794" s="4" t="inlineStr">
        <is>
          <t>Google</t>
        </is>
      </c>
      <c r="H794" s="4" t="inlineStr">
        <is>
          <t>Specialist consultation</t>
        </is>
      </c>
      <c r="I794" s="9">
        <f>IF($H794="","",IFERROR(INDEX('Settings'!$J$10:$J$39,MATCH($H794,'Settings'!$I$10:$I$39,0)),""))</f>
        <v/>
      </c>
      <c r="J794" s="6" t="n">
        <v>1</v>
      </c>
      <c r="K794" s="8" t="n">
        <v>350</v>
      </c>
      <c r="L794" s="8" t="n"/>
      <c r="M794" s="14">
        <f>IF($A794="","",$J794*$K794)</f>
        <v/>
      </c>
      <c r="N794" s="14">
        <f>IF($A794="","",$M794-$L794)</f>
        <v/>
      </c>
      <c r="O794" s="4" t="inlineStr">
        <is>
          <t>Payment link</t>
        </is>
      </c>
      <c r="P794" s="15">
        <f>IF($A794="","",DATE(YEAR($A794),MONTH($A794),1))</f>
        <v/>
      </c>
      <c r="Q794" s="16">
        <f>IF($H794="","",$J794*IFERROR(INDEX('Settings'!$L$10:$L$39,MATCH($H794,'Settings'!$I$10:$I$39,0)),0))</f>
        <v/>
      </c>
      <c r="R794" s="17">
        <f>IF($A794="","",$A794-WEEKDAY($A794,2)+1)</f>
        <v/>
      </c>
    </row>
    <row r="795">
      <c r="A795" s="5" t="n">
        <v>46270</v>
      </c>
      <c r="B795" s="4" t="inlineStr">
        <is>
          <t>Main branch</t>
        </is>
      </c>
      <c r="C795" s="4" t="inlineStr">
        <is>
          <t>Main 1</t>
        </is>
      </c>
      <c r="D795" s="4" t="inlineStr">
        <is>
          <t>Dr Sara Al Harbi</t>
        </is>
      </c>
      <c r="E795" s="4" t="inlineStr">
        <is>
          <t>P-2288</t>
        </is>
      </c>
      <c r="F795" s="4" t="inlineStr">
        <is>
          <t>New</t>
        </is>
      </c>
      <c r="G795" s="4" t="inlineStr">
        <is>
          <t>Instagram</t>
        </is>
      </c>
      <c r="H795" s="4" t="inlineStr">
        <is>
          <t>Specialist consultation</t>
        </is>
      </c>
      <c r="I795" s="9">
        <f>IF($H795="","",IFERROR(INDEX('Settings'!$J$10:$J$39,MATCH($H795,'Settings'!$I$10:$I$39,0)),""))</f>
        <v/>
      </c>
      <c r="J795" s="6" t="n">
        <v>1</v>
      </c>
      <c r="K795" s="8" t="n">
        <v>350</v>
      </c>
      <c r="L795" s="8" t="n"/>
      <c r="M795" s="14">
        <f>IF($A795="","",$J795*$K795)</f>
        <v/>
      </c>
      <c r="N795" s="14">
        <f>IF($A795="","",$M795-$L795)</f>
        <v/>
      </c>
      <c r="O795" s="4" t="inlineStr">
        <is>
          <t>Payment link</t>
        </is>
      </c>
      <c r="P795" s="15">
        <f>IF($A795="","",DATE(YEAR($A795),MONTH($A795),1))</f>
        <v/>
      </c>
      <c r="Q795" s="16">
        <f>IF($H795="","",$J795*IFERROR(INDEX('Settings'!$L$10:$L$39,MATCH($H795,'Settings'!$I$10:$I$39,0)),0))</f>
        <v/>
      </c>
      <c r="R795" s="17">
        <f>IF($A795="","",$A795-WEEKDAY($A795,2)+1)</f>
        <v/>
      </c>
    </row>
    <row r="796">
      <c r="A796" s="5" t="n">
        <v>46270</v>
      </c>
      <c r="B796" s="4" t="inlineStr">
        <is>
          <t>Main branch</t>
        </is>
      </c>
      <c r="C796" s="4" t="inlineStr">
        <is>
          <t>Main 2</t>
        </is>
      </c>
      <c r="D796" s="4" t="inlineStr">
        <is>
          <t>Dr Sara Al Harbi</t>
        </is>
      </c>
      <c r="E796" s="4" t="inlineStr">
        <is>
          <t>P-3353</t>
        </is>
      </c>
      <c r="F796" s="4" t="inlineStr">
        <is>
          <t>Returning</t>
        </is>
      </c>
      <c r="G796" s="4" t="inlineStr">
        <is>
          <t>Referral</t>
        </is>
      </c>
      <c r="H796" s="4" t="inlineStr">
        <is>
          <t>Follow-up visit</t>
        </is>
      </c>
      <c r="I796" s="9">
        <f>IF($H796="","",IFERROR(INDEX('Settings'!$J$10:$J$39,MATCH($H796,'Settings'!$I$10:$I$39,0)),""))</f>
        <v/>
      </c>
      <c r="J796" s="6" t="n">
        <v>1</v>
      </c>
      <c r="K796" s="8" t="n">
        <v>150</v>
      </c>
      <c r="L796" s="8" t="n"/>
      <c r="M796" s="14">
        <f>IF($A796="","",$J796*$K796)</f>
        <v/>
      </c>
      <c r="N796" s="14">
        <f>IF($A796="","",$M796-$L796)</f>
        <v/>
      </c>
      <c r="O796" s="4" t="inlineStr">
        <is>
          <t>Cash</t>
        </is>
      </c>
      <c r="P796" s="15">
        <f>IF($A796="","",DATE(YEAR($A796),MONTH($A796),1))</f>
        <v/>
      </c>
      <c r="Q796" s="16">
        <f>IF($H796="","",$J796*IFERROR(INDEX('Settings'!$L$10:$L$39,MATCH($H796,'Settings'!$I$10:$I$39,0)),0))</f>
        <v/>
      </c>
      <c r="R796" s="17">
        <f>IF($A796="","",$A796-WEEKDAY($A796,2)+1)</f>
        <v/>
      </c>
    </row>
    <row r="797">
      <c r="A797" s="5" t="n">
        <v>46270</v>
      </c>
      <c r="B797" s="4" t="inlineStr">
        <is>
          <t>Main branch</t>
        </is>
      </c>
      <c r="C797" s="4" t="inlineStr">
        <is>
          <t>Main 2</t>
        </is>
      </c>
      <c r="D797" s="4" t="inlineStr">
        <is>
          <t>Dr Sara Al Harbi</t>
        </is>
      </c>
      <c r="E797" s="4" t="inlineStr">
        <is>
          <t>P-3050</t>
        </is>
      </c>
      <c r="F797" s="4" t="inlineStr">
        <is>
          <t>Returning</t>
        </is>
      </c>
      <c r="G797" s="4" t="inlineStr">
        <is>
          <t>Walk-in</t>
        </is>
      </c>
      <c r="H797" s="4" t="inlineStr">
        <is>
          <t>Facial cleansing</t>
        </is>
      </c>
      <c r="I797" s="9">
        <f>IF($H797="","",IFERROR(INDEX('Settings'!$J$10:$J$39,MATCH($H797,'Settings'!$I$10:$I$39,0)),""))</f>
        <v/>
      </c>
      <c r="J797" s="6" t="n">
        <v>1</v>
      </c>
      <c r="K797" s="8" t="n">
        <v>400</v>
      </c>
      <c r="L797" s="8" t="n">
        <v>80</v>
      </c>
      <c r="M797" s="14">
        <f>IF($A797="","",$J797*$K797)</f>
        <v/>
      </c>
      <c r="N797" s="14">
        <f>IF($A797="","",$M797-$L797)</f>
        <v/>
      </c>
      <c r="O797" s="4" t="inlineStr">
        <is>
          <t>Card</t>
        </is>
      </c>
      <c r="P797" s="15">
        <f>IF($A797="","",DATE(YEAR($A797),MONTH($A797),1))</f>
        <v/>
      </c>
      <c r="Q797" s="16">
        <f>IF($H797="","",$J797*IFERROR(INDEX('Settings'!$L$10:$L$39,MATCH($H797,'Settings'!$I$10:$I$39,0)),0))</f>
        <v/>
      </c>
      <c r="R797" s="17">
        <f>IF($A797="","",$A797-WEEKDAY($A797,2)+1)</f>
        <v/>
      </c>
    </row>
    <row r="798">
      <c r="A798" s="5" t="n">
        <v>46270</v>
      </c>
      <c r="B798" s="4" t="inlineStr">
        <is>
          <t>Main branch</t>
        </is>
      </c>
      <c r="C798" s="4" t="inlineStr">
        <is>
          <t>Main 2</t>
        </is>
      </c>
      <c r="D798" s="4" t="inlineStr">
        <is>
          <t>Dr Noura Al Subaie</t>
        </is>
      </c>
      <c r="E798" s="4" t="inlineStr">
        <is>
          <t>P-2641</t>
        </is>
      </c>
      <c r="F798" s="4" t="inlineStr">
        <is>
          <t>New</t>
        </is>
      </c>
      <c r="G798" s="4" t="inlineStr">
        <is>
          <t>Google</t>
        </is>
      </c>
      <c r="H798" s="4" t="inlineStr">
        <is>
          <t>Physiotherapy session</t>
        </is>
      </c>
      <c r="I798" s="9">
        <f>IF($H798="","",IFERROR(INDEX('Settings'!$J$10:$J$39,MATCH($H798,'Settings'!$I$10:$I$39,0)),""))</f>
        <v/>
      </c>
      <c r="J798" s="6" t="n">
        <v>1</v>
      </c>
      <c r="K798" s="8" t="n">
        <v>300</v>
      </c>
      <c r="L798" s="8" t="n">
        <v>60</v>
      </c>
      <c r="M798" s="14">
        <f>IF($A798="","",$J798*$K798)</f>
        <v/>
      </c>
      <c r="N798" s="14">
        <f>IF($A798="","",$M798-$L798)</f>
        <v/>
      </c>
      <c r="O798" s="4" t="inlineStr">
        <is>
          <t>Insurance</t>
        </is>
      </c>
      <c r="P798" s="15">
        <f>IF($A798="","",DATE(YEAR($A798),MONTH($A798),1))</f>
        <v/>
      </c>
      <c r="Q798" s="16">
        <f>IF($H798="","",$J798*IFERROR(INDEX('Settings'!$L$10:$L$39,MATCH($H798,'Settings'!$I$10:$I$39,0)),0))</f>
        <v/>
      </c>
      <c r="R798" s="17">
        <f>IF($A798="","",$A798-WEEKDAY($A798,2)+1)</f>
        <v/>
      </c>
    </row>
    <row r="799">
      <c r="A799" s="5" t="n">
        <v>46270</v>
      </c>
      <c r="B799" s="4" t="inlineStr">
        <is>
          <t>Main branch</t>
        </is>
      </c>
      <c r="C799" s="4" t="inlineStr">
        <is>
          <t>Main 3</t>
        </is>
      </c>
      <c r="D799" s="4" t="inlineStr">
        <is>
          <t>Dr Ahmed Mansour</t>
        </is>
      </c>
      <c r="E799" s="4" t="inlineStr">
        <is>
          <t>P-3147</t>
        </is>
      </c>
      <c r="F799" s="4" t="inlineStr">
        <is>
          <t>Returning</t>
        </is>
      </c>
      <c r="G799" s="4" t="inlineStr">
        <is>
          <t>WhatsApp</t>
        </is>
      </c>
      <c r="H799" s="4" t="inlineStr">
        <is>
          <t>Specialist consultation</t>
        </is>
      </c>
      <c r="I799" s="9">
        <f>IF($H799="","",IFERROR(INDEX('Settings'!$J$10:$J$39,MATCH($H799,'Settings'!$I$10:$I$39,0)),""))</f>
        <v/>
      </c>
      <c r="J799" s="6" t="n">
        <v>1</v>
      </c>
      <c r="K799" s="8" t="n">
        <v>350</v>
      </c>
      <c r="L799" s="8" t="n"/>
      <c r="M799" s="14">
        <f>IF($A799="","",$J799*$K799)</f>
        <v/>
      </c>
      <c r="N799" s="14">
        <f>IF($A799="","",$M799-$L799)</f>
        <v/>
      </c>
      <c r="O799" s="4" t="inlineStr">
        <is>
          <t>Insurance</t>
        </is>
      </c>
      <c r="P799" s="15">
        <f>IF($A799="","",DATE(YEAR($A799),MONTH($A799),1))</f>
        <v/>
      </c>
      <c r="Q799" s="16">
        <f>IF($H799="","",$J799*IFERROR(INDEX('Settings'!$L$10:$L$39,MATCH($H799,'Settings'!$I$10:$I$39,0)),0))</f>
        <v/>
      </c>
      <c r="R799" s="17">
        <f>IF($A799="","",$A799-WEEKDAY($A799,2)+1)</f>
        <v/>
      </c>
    </row>
    <row r="800">
      <c r="A800" s="5" t="n">
        <v>46270</v>
      </c>
      <c r="B800" s="4" t="inlineStr">
        <is>
          <t>Main branch</t>
        </is>
      </c>
      <c r="C800" s="4" t="inlineStr">
        <is>
          <t>Main 4</t>
        </is>
      </c>
      <c r="D800" s="4" t="inlineStr">
        <is>
          <t>Dr Ahmed Mansour</t>
        </is>
      </c>
      <c r="E800" s="4" t="inlineStr">
        <is>
          <t>P-2798</t>
        </is>
      </c>
      <c r="F800" s="4" t="inlineStr">
        <is>
          <t>Returning</t>
        </is>
      </c>
      <c r="G800" s="4" t="inlineStr">
        <is>
          <t>WhatsApp</t>
        </is>
      </c>
      <c r="H800" s="4" t="inlineStr">
        <is>
          <t>Chemical peel</t>
        </is>
      </c>
      <c r="I800" s="9">
        <f>IF($H800="","",IFERROR(INDEX('Settings'!$J$10:$J$39,MATCH($H800,'Settings'!$I$10:$I$39,0)),""))</f>
        <v/>
      </c>
      <c r="J800" s="6" t="n">
        <v>1</v>
      </c>
      <c r="K800" s="8" t="n">
        <v>800</v>
      </c>
      <c r="L800" s="8" t="n"/>
      <c r="M800" s="14">
        <f>IF($A800="","",$J800*$K800)</f>
        <v/>
      </c>
      <c r="N800" s="14">
        <f>IF($A800="","",$M800-$L800)</f>
        <v/>
      </c>
      <c r="O800" s="4" t="inlineStr">
        <is>
          <t>Card</t>
        </is>
      </c>
      <c r="P800" s="15">
        <f>IF($A800="","",DATE(YEAR($A800),MONTH($A800),1))</f>
        <v/>
      </c>
      <c r="Q800" s="16">
        <f>IF($H800="","",$J800*IFERROR(INDEX('Settings'!$L$10:$L$39,MATCH($H800,'Settings'!$I$10:$I$39,0)),0))</f>
        <v/>
      </c>
      <c r="R800" s="17">
        <f>IF($A800="","",$A800-WEEKDAY($A800,2)+1)</f>
        <v/>
      </c>
    </row>
    <row r="801">
      <c r="A801" s="5" t="n">
        <v>46270</v>
      </c>
      <c r="B801" s="4" t="inlineStr">
        <is>
          <t>North branch</t>
        </is>
      </c>
      <c r="C801" s="4" t="inlineStr">
        <is>
          <t>North 1</t>
        </is>
      </c>
      <c r="D801" s="4" t="inlineStr">
        <is>
          <t>Dr Mohamed Adel</t>
        </is>
      </c>
      <c r="E801" s="4" t="inlineStr">
        <is>
          <t>P-2575</t>
        </is>
      </c>
      <c r="F801" s="4" t="inlineStr">
        <is>
          <t>New</t>
        </is>
      </c>
      <c r="G801" s="4" t="inlineStr">
        <is>
          <t>Referral</t>
        </is>
      </c>
      <c r="H801" s="4" t="inlineStr">
        <is>
          <t>Specialist consultation</t>
        </is>
      </c>
      <c r="I801" s="9">
        <f>IF($H801="","",IFERROR(INDEX('Settings'!$J$10:$J$39,MATCH($H801,'Settings'!$I$10:$I$39,0)),""))</f>
        <v/>
      </c>
      <c r="J801" s="6" t="n">
        <v>1</v>
      </c>
      <c r="K801" s="8" t="n">
        <v>350</v>
      </c>
      <c r="L801" s="8" t="n"/>
      <c r="M801" s="14">
        <f>IF($A801="","",$J801*$K801)</f>
        <v/>
      </c>
      <c r="N801" s="14">
        <f>IF($A801="","",$M801-$L801)</f>
        <v/>
      </c>
      <c r="O801" s="4" t="inlineStr">
        <is>
          <t>Card</t>
        </is>
      </c>
      <c r="P801" s="15">
        <f>IF($A801="","",DATE(YEAR($A801),MONTH($A801),1))</f>
        <v/>
      </c>
      <c r="Q801" s="16">
        <f>IF($H801="","",$J801*IFERROR(INDEX('Settings'!$L$10:$L$39,MATCH($H801,'Settings'!$I$10:$I$39,0)),0))</f>
        <v/>
      </c>
      <c r="R801" s="17">
        <f>IF($A801="","",$A801-WEEKDAY($A801,2)+1)</f>
        <v/>
      </c>
    </row>
    <row r="802">
      <c r="A802" s="5" t="n">
        <v>46270</v>
      </c>
      <c r="B802" s="4" t="inlineStr">
        <is>
          <t>North branch</t>
        </is>
      </c>
      <c r="C802" s="4" t="inlineStr">
        <is>
          <t>North 1</t>
        </is>
      </c>
      <c r="D802" s="4" t="inlineStr">
        <is>
          <t>Dr Layla Al Qahtani</t>
        </is>
      </c>
      <c r="E802" s="4" t="inlineStr">
        <is>
          <t>P-3280</t>
        </is>
      </c>
      <c r="F802" s="4" t="inlineStr">
        <is>
          <t>New</t>
        </is>
      </c>
      <c r="G802" s="4" t="inlineStr">
        <is>
          <t>Instagram</t>
        </is>
      </c>
      <c r="H802" s="4" t="inlineStr">
        <is>
          <t>Specialist consultation</t>
        </is>
      </c>
      <c r="I802" s="9">
        <f>IF($H802="","",IFERROR(INDEX('Settings'!$J$10:$J$39,MATCH($H802,'Settings'!$I$10:$I$39,0)),""))</f>
        <v/>
      </c>
      <c r="J802" s="6" t="n">
        <v>1</v>
      </c>
      <c r="K802" s="8" t="n">
        <v>350</v>
      </c>
      <c r="L802" s="8" t="n"/>
      <c r="M802" s="14">
        <f>IF($A802="","",$J802*$K802)</f>
        <v/>
      </c>
      <c r="N802" s="14">
        <f>IF($A802="","",$M802-$L802)</f>
        <v/>
      </c>
      <c r="O802" s="4" t="inlineStr">
        <is>
          <t>Card</t>
        </is>
      </c>
      <c r="P802" s="15">
        <f>IF($A802="","",DATE(YEAR($A802),MONTH($A802),1))</f>
        <v/>
      </c>
      <c r="Q802" s="16">
        <f>IF($H802="","",$J802*IFERROR(INDEX('Settings'!$L$10:$L$39,MATCH($H802,'Settings'!$I$10:$I$39,0)),0))</f>
        <v/>
      </c>
      <c r="R802" s="17">
        <f>IF($A802="","",$A802-WEEKDAY($A802,2)+1)</f>
        <v/>
      </c>
    </row>
    <row r="803">
      <c r="A803" s="5" t="n">
        <v>46270</v>
      </c>
      <c r="B803" s="4" t="inlineStr">
        <is>
          <t>North branch</t>
        </is>
      </c>
      <c r="C803" s="4" t="inlineStr">
        <is>
          <t>North 1</t>
        </is>
      </c>
      <c r="D803" s="4" t="inlineStr">
        <is>
          <t>Dr Mohamed Adel</t>
        </is>
      </c>
      <c r="E803" s="4" t="inlineStr">
        <is>
          <t>P-2536</t>
        </is>
      </c>
      <c r="F803" s="4" t="inlineStr">
        <is>
          <t>New</t>
        </is>
      </c>
      <c r="G803" s="4" t="inlineStr">
        <is>
          <t>WhatsApp</t>
        </is>
      </c>
      <c r="H803" s="4" t="inlineStr">
        <is>
          <t>Laser session, face</t>
        </is>
      </c>
      <c r="I803" s="9">
        <f>IF($H803="","",IFERROR(INDEX('Settings'!$J$10:$J$39,MATCH($H803,'Settings'!$I$10:$I$39,0)),""))</f>
        <v/>
      </c>
      <c r="J803" s="6" t="n">
        <v>1</v>
      </c>
      <c r="K803" s="8" t="n">
        <v>600</v>
      </c>
      <c r="L803" s="8" t="n"/>
      <c r="M803" s="14">
        <f>IF($A803="","",$J803*$K803)</f>
        <v/>
      </c>
      <c r="N803" s="14">
        <f>IF($A803="","",$M803-$L803)</f>
        <v/>
      </c>
      <c r="O803" s="4" t="inlineStr">
        <is>
          <t>Card</t>
        </is>
      </c>
      <c r="P803" s="15">
        <f>IF($A803="","",DATE(YEAR($A803),MONTH($A803),1))</f>
        <v/>
      </c>
      <c r="Q803" s="16">
        <f>IF($H803="","",$J803*IFERROR(INDEX('Settings'!$L$10:$L$39,MATCH($H803,'Settings'!$I$10:$I$39,0)),0))</f>
        <v/>
      </c>
      <c r="R803" s="17">
        <f>IF($A803="","",$A803-WEEKDAY($A803,2)+1)</f>
        <v/>
      </c>
    </row>
    <row r="804">
      <c r="A804" s="5" t="n">
        <v>46270</v>
      </c>
      <c r="B804" s="4" t="inlineStr">
        <is>
          <t>North branch</t>
        </is>
      </c>
      <c r="C804" s="4" t="inlineStr">
        <is>
          <t>North 1</t>
        </is>
      </c>
      <c r="D804" s="4" t="inlineStr">
        <is>
          <t>Dr Khaled Youssef</t>
        </is>
      </c>
      <c r="E804" s="4" t="inlineStr">
        <is>
          <t>P-2454</t>
        </is>
      </c>
      <c r="F804" s="4" t="inlineStr">
        <is>
          <t>Returning</t>
        </is>
      </c>
      <c r="G804" s="4" t="inlineStr">
        <is>
          <t>WhatsApp</t>
        </is>
      </c>
      <c r="H804" s="4" t="inlineStr">
        <is>
          <t>Follow-up visit</t>
        </is>
      </c>
      <c r="I804" s="9">
        <f>IF($H804="","",IFERROR(INDEX('Settings'!$J$10:$J$39,MATCH($H804,'Settings'!$I$10:$I$39,0)),""))</f>
        <v/>
      </c>
      <c r="J804" s="6" t="n">
        <v>1</v>
      </c>
      <c r="K804" s="8" t="n">
        <v>150</v>
      </c>
      <c r="L804" s="8" t="n"/>
      <c r="M804" s="14">
        <f>IF($A804="","",$J804*$K804)</f>
        <v/>
      </c>
      <c r="N804" s="14">
        <f>IF($A804="","",$M804-$L804)</f>
        <v/>
      </c>
      <c r="O804" s="4" t="inlineStr">
        <is>
          <t>Cash</t>
        </is>
      </c>
      <c r="P804" s="15">
        <f>IF($A804="","",DATE(YEAR($A804),MONTH($A804),1))</f>
        <v/>
      </c>
      <c r="Q804" s="16">
        <f>IF($H804="","",$J804*IFERROR(INDEX('Settings'!$L$10:$L$39,MATCH($H804,'Settings'!$I$10:$I$39,0)),0))</f>
        <v/>
      </c>
      <c r="R804" s="17">
        <f>IF($A804="","",$A804-WEEKDAY($A804,2)+1)</f>
        <v/>
      </c>
    </row>
    <row r="805">
      <c r="A805" s="5" t="n">
        <v>46270</v>
      </c>
      <c r="B805" s="4" t="inlineStr">
        <is>
          <t>North branch</t>
        </is>
      </c>
      <c r="C805" s="4" t="inlineStr">
        <is>
          <t>North 1</t>
        </is>
      </c>
      <c r="D805" s="4" t="inlineStr">
        <is>
          <t>Dr Mohamed Adel</t>
        </is>
      </c>
      <c r="E805" s="4" t="inlineStr">
        <is>
          <t>P-2223</t>
        </is>
      </c>
      <c r="F805" s="4" t="inlineStr">
        <is>
          <t>New</t>
        </is>
      </c>
      <c r="G805" s="4" t="inlineStr">
        <is>
          <t>Instagram</t>
        </is>
      </c>
      <c r="H805" s="4" t="inlineStr">
        <is>
          <t>Laser session, face</t>
        </is>
      </c>
      <c r="I805" s="9">
        <f>IF($H805="","",IFERROR(INDEX('Settings'!$J$10:$J$39,MATCH($H805,'Settings'!$I$10:$I$39,0)),""))</f>
        <v/>
      </c>
      <c r="J805" s="6" t="n">
        <v>1</v>
      </c>
      <c r="K805" s="8" t="n">
        <v>600</v>
      </c>
      <c r="L805" s="8" t="n"/>
      <c r="M805" s="14">
        <f>IF($A805="","",$J805*$K805)</f>
        <v/>
      </c>
      <c r="N805" s="14">
        <f>IF($A805="","",$M805-$L805)</f>
        <v/>
      </c>
      <c r="O805" s="4" t="inlineStr">
        <is>
          <t>Card</t>
        </is>
      </c>
      <c r="P805" s="15">
        <f>IF($A805="","",DATE(YEAR($A805),MONTH($A805),1))</f>
        <v/>
      </c>
      <c r="Q805" s="16">
        <f>IF($H805="","",$J805*IFERROR(INDEX('Settings'!$L$10:$L$39,MATCH($H805,'Settings'!$I$10:$I$39,0)),0))</f>
        <v/>
      </c>
      <c r="R805" s="17">
        <f>IF($A805="","",$A805-WEEKDAY($A805,2)+1)</f>
        <v/>
      </c>
    </row>
    <row r="806">
      <c r="A806" s="5" t="n">
        <v>46270</v>
      </c>
      <c r="B806" s="4" t="inlineStr">
        <is>
          <t>North branch</t>
        </is>
      </c>
      <c r="C806" s="4" t="inlineStr">
        <is>
          <t>North 1</t>
        </is>
      </c>
      <c r="D806" s="4" t="inlineStr">
        <is>
          <t>Dr Mohamed Adel</t>
        </is>
      </c>
      <c r="E806" s="4" t="inlineStr">
        <is>
          <t>P-2484</t>
        </is>
      </c>
      <c r="F806" s="4" t="inlineStr">
        <is>
          <t>New</t>
        </is>
      </c>
      <c r="G806" s="4" t="inlineStr">
        <is>
          <t>Walk-in</t>
        </is>
      </c>
      <c r="H806" s="4" t="inlineStr">
        <is>
          <t>Vitamin C serum</t>
        </is>
      </c>
      <c r="I806" s="9">
        <f>IF($H806="","",IFERROR(INDEX('Settings'!$J$10:$J$39,MATCH($H806,'Settings'!$I$10:$I$39,0)),""))</f>
        <v/>
      </c>
      <c r="J806" s="6" t="n">
        <v>1</v>
      </c>
      <c r="K806" s="8" t="n">
        <v>220</v>
      </c>
      <c r="L806" s="8" t="n"/>
      <c r="M806" s="14">
        <f>IF($A806="","",$J806*$K806)</f>
        <v/>
      </c>
      <c r="N806" s="14">
        <f>IF($A806="","",$M806-$L806)</f>
        <v/>
      </c>
      <c r="O806" s="4" t="inlineStr">
        <is>
          <t>Cash</t>
        </is>
      </c>
      <c r="P806" s="15">
        <f>IF($A806="","",DATE(YEAR($A806),MONTH($A806),1))</f>
        <v/>
      </c>
      <c r="Q806" s="16">
        <f>IF($H806="","",$J806*IFERROR(INDEX('Settings'!$L$10:$L$39,MATCH($H806,'Settings'!$I$10:$I$39,0)),0))</f>
        <v/>
      </c>
      <c r="R806" s="17">
        <f>IF($A806="","",$A806-WEEKDAY($A806,2)+1)</f>
        <v/>
      </c>
    </row>
    <row r="807">
      <c r="A807" s="5" t="n">
        <v>46270</v>
      </c>
      <c r="B807" s="4" t="inlineStr">
        <is>
          <t>North branch</t>
        </is>
      </c>
      <c r="C807" s="4" t="inlineStr">
        <is>
          <t>North 2</t>
        </is>
      </c>
      <c r="D807" s="4" t="inlineStr">
        <is>
          <t>Dr Layla Al Qahtani</t>
        </is>
      </c>
      <c r="E807" s="4" t="inlineStr">
        <is>
          <t>P-2676</t>
        </is>
      </c>
      <c r="F807" s="4" t="inlineStr">
        <is>
          <t>Returning</t>
        </is>
      </c>
      <c r="G807" s="4" t="inlineStr">
        <is>
          <t>Walk-in</t>
        </is>
      </c>
      <c r="H807" s="4" t="inlineStr">
        <is>
          <t>Botulinum toxin</t>
        </is>
      </c>
      <c r="I807" s="9">
        <f>IF($H807="","",IFERROR(INDEX('Settings'!$J$10:$J$39,MATCH($H807,'Settings'!$I$10:$I$39,0)),""))</f>
        <v/>
      </c>
      <c r="J807" s="6" t="n">
        <v>1</v>
      </c>
      <c r="K807" s="8" t="n">
        <v>1500</v>
      </c>
      <c r="L807" s="8" t="n"/>
      <c r="M807" s="14">
        <f>IF($A807="","",$J807*$K807)</f>
        <v/>
      </c>
      <c r="N807" s="14">
        <f>IF($A807="","",$M807-$L807)</f>
        <v/>
      </c>
      <c r="O807" s="4" t="inlineStr">
        <is>
          <t>Payment link</t>
        </is>
      </c>
      <c r="P807" s="15">
        <f>IF($A807="","",DATE(YEAR($A807),MONTH($A807),1))</f>
        <v/>
      </c>
      <c r="Q807" s="16">
        <f>IF($H807="","",$J807*IFERROR(INDEX('Settings'!$L$10:$L$39,MATCH($H807,'Settings'!$I$10:$I$39,0)),0))</f>
        <v/>
      </c>
      <c r="R807" s="17">
        <f>IF($A807="","",$A807-WEEKDAY($A807,2)+1)</f>
        <v/>
      </c>
    </row>
    <row r="808">
      <c r="A808" s="5" t="n">
        <v>46270</v>
      </c>
      <c r="B808" s="4" t="inlineStr">
        <is>
          <t>North branch</t>
        </is>
      </c>
      <c r="C808" s="4" t="inlineStr">
        <is>
          <t>North 2</t>
        </is>
      </c>
      <c r="D808" s="4" t="inlineStr">
        <is>
          <t>Dr Mohamed Adel</t>
        </is>
      </c>
      <c r="E808" s="4" t="inlineStr">
        <is>
          <t>P-2722</t>
        </is>
      </c>
      <c r="F808" s="4" t="inlineStr">
        <is>
          <t>Returning</t>
        </is>
      </c>
      <c r="G808" s="4" t="inlineStr">
        <is>
          <t>Instagram</t>
        </is>
      </c>
      <c r="H808" s="4" t="inlineStr">
        <is>
          <t>Follow-up visit</t>
        </is>
      </c>
      <c r="I808" s="9">
        <f>IF($H808="","",IFERROR(INDEX('Settings'!$J$10:$J$39,MATCH($H808,'Settings'!$I$10:$I$39,0)),""))</f>
        <v/>
      </c>
      <c r="J808" s="6" t="n">
        <v>1</v>
      </c>
      <c r="K808" s="8" t="n">
        <v>150</v>
      </c>
      <c r="L808" s="8" t="n"/>
      <c r="M808" s="14">
        <f>IF($A808="","",$J808*$K808)</f>
        <v/>
      </c>
      <c r="N808" s="14">
        <f>IF($A808="","",$M808-$L808)</f>
        <v/>
      </c>
      <c r="O808" s="4" t="inlineStr">
        <is>
          <t>Card</t>
        </is>
      </c>
      <c r="P808" s="15">
        <f>IF($A808="","",DATE(YEAR($A808),MONTH($A808),1))</f>
        <v/>
      </c>
      <c r="Q808" s="16">
        <f>IF($H808="","",$J808*IFERROR(INDEX('Settings'!$L$10:$L$39,MATCH($H808,'Settings'!$I$10:$I$39,0)),0))</f>
        <v/>
      </c>
      <c r="R808" s="17">
        <f>IF($A808="","",$A808-WEEKDAY($A808,2)+1)</f>
        <v/>
      </c>
    </row>
    <row r="809">
      <c r="A809" s="5" t="n">
        <v>46270</v>
      </c>
      <c r="B809" s="4" t="inlineStr">
        <is>
          <t>North branch</t>
        </is>
      </c>
      <c r="C809" s="4" t="inlineStr">
        <is>
          <t>North 2</t>
        </is>
      </c>
      <c r="D809" s="4" t="inlineStr">
        <is>
          <t>Dr Khaled Youssef</t>
        </is>
      </c>
      <c r="E809" s="4" t="inlineStr">
        <is>
          <t>P-2297</t>
        </is>
      </c>
      <c r="F809" s="4" t="inlineStr">
        <is>
          <t>New</t>
        </is>
      </c>
      <c r="G809" s="4" t="inlineStr">
        <is>
          <t>Instagram</t>
        </is>
      </c>
      <c r="H809" s="4" t="inlineStr">
        <is>
          <t>Skin tag removal</t>
        </is>
      </c>
      <c r="I809" s="9">
        <f>IF($H809="","",IFERROR(INDEX('Settings'!$J$10:$J$39,MATCH($H809,'Settings'!$I$10:$I$39,0)),""))</f>
        <v/>
      </c>
      <c r="J809" s="6" t="n">
        <v>1</v>
      </c>
      <c r="K809" s="8" t="n">
        <v>500</v>
      </c>
      <c r="L809" s="8" t="n"/>
      <c r="M809" s="14">
        <f>IF($A809="","",$J809*$K809)</f>
        <v/>
      </c>
      <c r="N809" s="14">
        <f>IF($A809="","",$M809-$L809)</f>
        <v/>
      </c>
      <c r="O809" s="4" t="inlineStr">
        <is>
          <t>Card</t>
        </is>
      </c>
      <c r="P809" s="15">
        <f>IF($A809="","",DATE(YEAR($A809),MONTH($A809),1))</f>
        <v/>
      </c>
      <c r="Q809" s="16">
        <f>IF($H809="","",$J809*IFERROR(INDEX('Settings'!$L$10:$L$39,MATCH($H809,'Settings'!$I$10:$I$39,0)),0))</f>
        <v/>
      </c>
      <c r="R809" s="17">
        <f>IF($A809="","",$A809-WEEKDAY($A809,2)+1)</f>
        <v/>
      </c>
    </row>
    <row r="810">
      <c r="A810" s="5" t="n">
        <v>46270</v>
      </c>
      <c r="B810" s="4" t="inlineStr">
        <is>
          <t>North branch</t>
        </is>
      </c>
      <c r="C810" s="4" t="inlineStr">
        <is>
          <t>North 2</t>
        </is>
      </c>
      <c r="D810" s="4" t="inlineStr">
        <is>
          <t>Dr Mohamed Adel</t>
        </is>
      </c>
      <c r="E810" s="4" t="inlineStr">
        <is>
          <t>P-2419</t>
        </is>
      </c>
      <c r="F810" s="4" t="inlineStr">
        <is>
          <t>Returning</t>
        </is>
      </c>
      <c r="G810" s="4" t="inlineStr">
        <is>
          <t>Instagram</t>
        </is>
      </c>
      <c r="H810" s="4" t="inlineStr">
        <is>
          <t>Chemical peel</t>
        </is>
      </c>
      <c r="I810" s="9">
        <f>IF($H810="","",IFERROR(INDEX('Settings'!$J$10:$J$39,MATCH($H810,'Settings'!$I$10:$I$39,0)),""))</f>
        <v/>
      </c>
      <c r="J810" s="6" t="n">
        <v>1</v>
      </c>
      <c r="K810" s="8" t="n">
        <v>800</v>
      </c>
      <c r="L810" s="8" t="n"/>
      <c r="M810" s="14">
        <f>IF($A810="","",$J810*$K810)</f>
        <v/>
      </c>
      <c r="N810" s="14">
        <f>IF($A810="","",$M810-$L810)</f>
        <v/>
      </c>
      <c r="O810" s="4" t="inlineStr">
        <is>
          <t>Insurance</t>
        </is>
      </c>
      <c r="P810" s="15">
        <f>IF($A810="","",DATE(YEAR($A810),MONTH($A810),1))</f>
        <v/>
      </c>
      <c r="Q810" s="16">
        <f>IF($H810="","",$J810*IFERROR(INDEX('Settings'!$L$10:$L$39,MATCH($H810,'Settings'!$I$10:$I$39,0)),0))</f>
        <v/>
      </c>
      <c r="R810" s="17">
        <f>IF($A810="","",$A810-WEEKDAY($A810,2)+1)</f>
        <v/>
      </c>
    </row>
    <row r="811">
      <c r="A811" s="5" t="n">
        <v>46271</v>
      </c>
      <c r="B811" s="4" t="inlineStr">
        <is>
          <t>Main branch</t>
        </is>
      </c>
      <c r="C811" s="4" t="inlineStr">
        <is>
          <t>Main 1</t>
        </is>
      </c>
      <c r="D811" s="4" t="inlineStr">
        <is>
          <t>Dr Sara Al Harbi</t>
        </is>
      </c>
      <c r="E811" s="4" t="inlineStr">
        <is>
          <t>P-2927</t>
        </is>
      </c>
      <c r="F811" s="4" t="inlineStr">
        <is>
          <t>New</t>
        </is>
      </c>
      <c r="G811" s="4" t="inlineStr">
        <is>
          <t>Google</t>
        </is>
      </c>
      <c r="H811" s="4" t="inlineStr">
        <is>
          <t>Follow-up visit</t>
        </is>
      </c>
      <c r="I811" s="9">
        <f>IF($H811="","",IFERROR(INDEX('Settings'!$J$10:$J$39,MATCH($H811,'Settings'!$I$10:$I$39,0)),""))</f>
        <v/>
      </c>
      <c r="J811" s="6" t="n">
        <v>1</v>
      </c>
      <c r="K811" s="8" t="n">
        <v>150</v>
      </c>
      <c r="L811" s="8" t="n"/>
      <c r="M811" s="14">
        <f>IF($A811="","",$J811*$K811)</f>
        <v/>
      </c>
      <c r="N811" s="14">
        <f>IF($A811="","",$M811-$L811)</f>
        <v/>
      </c>
      <c r="O811" s="4" t="inlineStr">
        <is>
          <t>Insurance</t>
        </is>
      </c>
      <c r="P811" s="15">
        <f>IF($A811="","",DATE(YEAR($A811),MONTH($A811),1))</f>
        <v/>
      </c>
      <c r="Q811" s="16">
        <f>IF($H811="","",$J811*IFERROR(INDEX('Settings'!$L$10:$L$39,MATCH($H811,'Settings'!$I$10:$I$39,0)),0))</f>
        <v/>
      </c>
      <c r="R811" s="17">
        <f>IF($A811="","",$A811-WEEKDAY($A811,2)+1)</f>
        <v/>
      </c>
    </row>
    <row r="812">
      <c r="A812" s="5" t="n">
        <v>46271</v>
      </c>
      <c r="B812" s="4" t="inlineStr">
        <is>
          <t>Main branch</t>
        </is>
      </c>
      <c r="C812" s="4" t="inlineStr">
        <is>
          <t>Main 2</t>
        </is>
      </c>
      <c r="D812" s="4" t="inlineStr">
        <is>
          <t>Dr Noura Al Subaie</t>
        </is>
      </c>
      <c r="E812" s="4" t="inlineStr">
        <is>
          <t>P-2100</t>
        </is>
      </c>
      <c r="F812" s="4" t="inlineStr">
        <is>
          <t>Returning</t>
        </is>
      </c>
      <c r="G812" s="4" t="inlineStr">
        <is>
          <t>Instagram</t>
        </is>
      </c>
      <c r="H812" s="4" t="inlineStr">
        <is>
          <t>Laser session, face</t>
        </is>
      </c>
      <c r="I812" s="9">
        <f>IF($H812="","",IFERROR(INDEX('Settings'!$J$10:$J$39,MATCH($H812,'Settings'!$I$10:$I$39,0)),""))</f>
        <v/>
      </c>
      <c r="J812" s="6" t="n">
        <v>1</v>
      </c>
      <c r="K812" s="8" t="n">
        <v>600</v>
      </c>
      <c r="L812" s="8" t="n">
        <v>120</v>
      </c>
      <c r="M812" s="14">
        <f>IF($A812="","",$J812*$K812)</f>
        <v/>
      </c>
      <c r="N812" s="14">
        <f>IF($A812="","",$M812-$L812)</f>
        <v/>
      </c>
      <c r="O812" s="4" t="inlineStr">
        <is>
          <t>Cash</t>
        </is>
      </c>
      <c r="P812" s="15">
        <f>IF($A812="","",DATE(YEAR($A812),MONTH($A812),1))</f>
        <v/>
      </c>
      <c r="Q812" s="16">
        <f>IF($H812="","",$J812*IFERROR(INDEX('Settings'!$L$10:$L$39,MATCH($H812,'Settings'!$I$10:$I$39,0)),0))</f>
        <v/>
      </c>
      <c r="R812" s="17">
        <f>IF($A812="","",$A812-WEEKDAY($A812,2)+1)</f>
        <v/>
      </c>
    </row>
    <row r="813">
      <c r="A813" s="5" t="n">
        <v>46271</v>
      </c>
      <c r="B813" s="4" t="inlineStr">
        <is>
          <t>Main branch</t>
        </is>
      </c>
      <c r="C813" s="4" t="inlineStr">
        <is>
          <t>Main 3</t>
        </is>
      </c>
      <c r="D813" s="4" t="inlineStr">
        <is>
          <t>Dr Ahmed Mansour</t>
        </is>
      </c>
      <c r="E813" s="4" t="inlineStr">
        <is>
          <t>P-3141</t>
        </is>
      </c>
      <c r="F813" s="4" t="inlineStr">
        <is>
          <t>New</t>
        </is>
      </c>
      <c r="G813" s="4" t="inlineStr">
        <is>
          <t>WhatsApp</t>
        </is>
      </c>
      <c r="H813" s="4" t="inlineStr">
        <is>
          <t>Laser session, face</t>
        </is>
      </c>
      <c r="I813" s="9">
        <f>IF($H813="","",IFERROR(INDEX('Settings'!$J$10:$J$39,MATCH($H813,'Settings'!$I$10:$I$39,0)),""))</f>
        <v/>
      </c>
      <c r="J813" s="6" t="n">
        <v>1</v>
      </c>
      <c r="K813" s="8" t="n">
        <v>600</v>
      </c>
      <c r="L813" s="8" t="n"/>
      <c r="M813" s="14">
        <f>IF($A813="","",$J813*$K813)</f>
        <v/>
      </c>
      <c r="N813" s="14">
        <f>IF($A813="","",$M813-$L813)</f>
        <v/>
      </c>
      <c r="O813" s="4" t="inlineStr">
        <is>
          <t>Card</t>
        </is>
      </c>
      <c r="P813" s="15">
        <f>IF($A813="","",DATE(YEAR($A813),MONTH($A813),1))</f>
        <v/>
      </c>
      <c r="Q813" s="16">
        <f>IF($H813="","",$J813*IFERROR(INDEX('Settings'!$L$10:$L$39,MATCH($H813,'Settings'!$I$10:$I$39,0)),0))</f>
        <v/>
      </c>
      <c r="R813" s="17">
        <f>IF($A813="","",$A813-WEEKDAY($A813,2)+1)</f>
        <v/>
      </c>
    </row>
    <row r="814">
      <c r="A814" s="5" t="n">
        <v>46271</v>
      </c>
      <c r="B814" s="4" t="inlineStr">
        <is>
          <t>Main branch</t>
        </is>
      </c>
      <c r="C814" s="4" t="inlineStr">
        <is>
          <t>Main 4</t>
        </is>
      </c>
      <c r="D814" s="4" t="inlineStr">
        <is>
          <t>Dr Ahmed Mansour</t>
        </is>
      </c>
      <c r="E814" s="4" t="inlineStr">
        <is>
          <t>P-2382</t>
        </is>
      </c>
      <c r="F814" s="4" t="inlineStr">
        <is>
          <t>Returning</t>
        </is>
      </c>
      <c r="G814" s="4" t="inlineStr">
        <is>
          <t>Referral</t>
        </is>
      </c>
      <c r="H814" s="4" t="inlineStr">
        <is>
          <t>Vitamin C serum</t>
        </is>
      </c>
      <c r="I814" s="9">
        <f>IF($H814="","",IFERROR(INDEX('Settings'!$J$10:$J$39,MATCH($H814,'Settings'!$I$10:$I$39,0)),""))</f>
        <v/>
      </c>
      <c r="J814" s="6" t="n">
        <v>1</v>
      </c>
      <c r="K814" s="8" t="n">
        <v>220</v>
      </c>
      <c r="L814" s="8" t="n"/>
      <c r="M814" s="14">
        <f>IF($A814="","",$J814*$K814)</f>
        <v/>
      </c>
      <c r="N814" s="14">
        <f>IF($A814="","",$M814-$L814)</f>
        <v/>
      </c>
      <c r="O814" s="4" t="inlineStr">
        <is>
          <t>Card</t>
        </is>
      </c>
      <c r="P814" s="15">
        <f>IF($A814="","",DATE(YEAR($A814),MONTH($A814),1))</f>
        <v/>
      </c>
      <c r="Q814" s="16">
        <f>IF($H814="","",$J814*IFERROR(INDEX('Settings'!$L$10:$L$39,MATCH($H814,'Settings'!$I$10:$I$39,0)),0))</f>
        <v/>
      </c>
      <c r="R814" s="17">
        <f>IF($A814="","",$A814-WEEKDAY($A814,2)+1)</f>
        <v/>
      </c>
    </row>
    <row r="815">
      <c r="A815" s="5" t="n">
        <v>46271</v>
      </c>
      <c r="B815" s="4" t="inlineStr">
        <is>
          <t>North branch</t>
        </is>
      </c>
      <c r="C815" s="4" t="inlineStr">
        <is>
          <t>North 1</t>
        </is>
      </c>
      <c r="D815" s="4" t="inlineStr">
        <is>
          <t>Dr Khaled Youssef</t>
        </is>
      </c>
      <c r="E815" s="4" t="inlineStr">
        <is>
          <t>P-2395</t>
        </is>
      </c>
      <c r="F815" s="4" t="inlineStr">
        <is>
          <t>Returning</t>
        </is>
      </c>
      <c r="G815" s="4" t="inlineStr">
        <is>
          <t>WhatsApp</t>
        </is>
      </c>
      <c r="H815" s="4" t="inlineStr">
        <is>
          <t>Specialist consultation</t>
        </is>
      </c>
      <c r="I815" s="9">
        <f>IF($H815="","",IFERROR(INDEX('Settings'!$J$10:$J$39,MATCH($H815,'Settings'!$I$10:$I$39,0)),""))</f>
        <v/>
      </c>
      <c r="J815" s="6" t="n">
        <v>1</v>
      </c>
      <c r="K815" s="8" t="n">
        <v>350</v>
      </c>
      <c r="L815" s="8" t="n"/>
      <c r="M815" s="14">
        <f>IF($A815="","",$J815*$K815)</f>
        <v/>
      </c>
      <c r="N815" s="14">
        <f>IF($A815="","",$M815-$L815)</f>
        <v/>
      </c>
      <c r="O815" s="4" t="inlineStr">
        <is>
          <t>Card</t>
        </is>
      </c>
      <c r="P815" s="15">
        <f>IF($A815="","",DATE(YEAR($A815),MONTH($A815),1))</f>
        <v/>
      </c>
      <c r="Q815" s="16">
        <f>IF($H815="","",$J815*IFERROR(INDEX('Settings'!$L$10:$L$39,MATCH($H815,'Settings'!$I$10:$I$39,0)),0))</f>
        <v/>
      </c>
      <c r="R815" s="17">
        <f>IF($A815="","",$A815-WEEKDAY($A815,2)+1)</f>
        <v/>
      </c>
    </row>
    <row r="816">
      <c r="A816" s="5" t="n">
        <v>46271</v>
      </c>
      <c r="B816" s="4" t="inlineStr">
        <is>
          <t>North branch</t>
        </is>
      </c>
      <c r="C816" s="4" t="inlineStr">
        <is>
          <t>North 1</t>
        </is>
      </c>
      <c r="D816" s="4" t="inlineStr">
        <is>
          <t>Dr Khaled Youssef</t>
        </is>
      </c>
      <c r="E816" s="4" t="inlineStr">
        <is>
          <t>P-2620</t>
        </is>
      </c>
      <c r="F816" s="4" t="inlineStr">
        <is>
          <t>Returning</t>
        </is>
      </c>
      <c r="G816" s="4" t="inlineStr">
        <is>
          <t>Walk-in</t>
        </is>
      </c>
      <c r="H816" s="4" t="inlineStr">
        <is>
          <t>Vitamin C serum</t>
        </is>
      </c>
      <c r="I816" s="9">
        <f>IF($H816="","",IFERROR(INDEX('Settings'!$J$10:$J$39,MATCH($H816,'Settings'!$I$10:$I$39,0)),""))</f>
        <v/>
      </c>
      <c r="J816" s="6" t="n">
        <v>1</v>
      </c>
      <c r="K816" s="8" t="n">
        <v>220</v>
      </c>
      <c r="L816" s="8" t="n">
        <v>10</v>
      </c>
      <c r="M816" s="14">
        <f>IF($A816="","",$J816*$K816)</f>
        <v/>
      </c>
      <c r="N816" s="14">
        <f>IF($A816="","",$M816-$L816)</f>
        <v/>
      </c>
      <c r="O816" s="4" t="inlineStr">
        <is>
          <t>Card</t>
        </is>
      </c>
      <c r="P816" s="15">
        <f>IF($A816="","",DATE(YEAR($A816),MONTH($A816),1))</f>
        <v/>
      </c>
      <c r="Q816" s="16">
        <f>IF($H816="","",$J816*IFERROR(INDEX('Settings'!$L$10:$L$39,MATCH($H816,'Settings'!$I$10:$I$39,0)),0))</f>
        <v/>
      </c>
      <c r="R816" s="17">
        <f>IF($A816="","",$A816-WEEKDAY($A816,2)+1)</f>
        <v/>
      </c>
    </row>
    <row r="817">
      <c r="A817" s="5" t="n">
        <v>46271</v>
      </c>
      <c r="B817" s="4" t="inlineStr">
        <is>
          <t>North branch</t>
        </is>
      </c>
      <c r="C817" s="4" t="inlineStr">
        <is>
          <t>North 2</t>
        </is>
      </c>
      <c r="D817" s="4" t="inlineStr">
        <is>
          <t>Dr Layla Al Qahtani</t>
        </is>
      </c>
      <c r="E817" s="4" t="inlineStr">
        <is>
          <t>P-3435</t>
        </is>
      </c>
      <c r="F817" s="4" t="inlineStr">
        <is>
          <t>New</t>
        </is>
      </c>
      <c r="G817" s="4" t="inlineStr">
        <is>
          <t>Instagram</t>
        </is>
      </c>
      <c r="H817" s="4" t="inlineStr">
        <is>
          <t>Follow-up visit</t>
        </is>
      </c>
      <c r="I817" s="9">
        <f>IF($H817="","",IFERROR(INDEX('Settings'!$J$10:$J$39,MATCH($H817,'Settings'!$I$10:$I$39,0)),""))</f>
        <v/>
      </c>
      <c r="J817" s="6" t="n">
        <v>1</v>
      </c>
      <c r="K817" s="8" t="n">
        <v>150</v>
      </c>
      <c r="L817" s="8" t="n"/>
      <c r="M817" s="14">
        <f>IF($A817="","",$J817*$K817)</f>
        <v/>
      </c>
      <c r="N817" s="14">
        <f>IF($A817="","",$M817-$L817)</f>
        <v/>
      </c>
      <c r="O817" s="4" t="inlineStr">
        <is>
          <t>Cash</t>
        </is>
      </c>
      <c r="P817" s="15">
        <f>IF($A817="","",DATE(YEAR($A817),MONTH($A817),1))</f>
        <v/>
      </c>
      <c r="Q817" s="16">
        <f>IF($H817="","",$J817*IFERROR(INDEX('Settings'!$L$10:$L$39,MATCH($H817,'Settings'!$I$10:$I$39,0)),0))</f>
        <v/>
      </c>
      <c r="R817" s="17">
        <f>IF($A817="","",$A817-WEEKDAY($A817,2)+1)</f>
        <v/>
      </c>
    </row>
    <row r="818">
      <c r="A818" s="5" t="n">
        <v>46271</v>
      </c>
      <c r="B818" s="4" t="inlineStr">
        <is>
          <t>North branch</t>
        </is>
      </c>
      <c r="C818" s="4" t="inlineStr">
        <is>
          <t>North 2</t>
        </is>
      </c>
      <c r="D818" s="4" t="inlineStr">
        <is>
          <t>Dr Khaled Youssef</t>
        </is>
      </c>
      <c r="E818" s="4" t="inlineStr">
        <is>
          <t>P-2654</t>
        </is>
      </c>
      <c r="F818" s="4" t="inlineStr">
        <is>
          <t>New</t>
        </is>
      </c>
      <c r="G818" s="4" t="inlineStr">
        <is>
          <t>Instagram</t>
        </is>
      </c>
      <c r="H818" s="4" t="inlineStr">
        <is>
          <t>Follow-up visit</t>
        </is>
      </c>
      <c r="I818" s="9">
        <f>IF($H818="","",IFERROR(INDEX('Settings'!$J$10:$J$39,MATCH($H818,'Settings'!$I$10:$I$39,0)),""))</f>
        <v/>
      </c>
      <c r="J818" s="6" t="n">
        <v>1</v>
      </c>
      <c r="K818" s="8" t="n">
        <v>150</v>
      </c>
      <c r="L818" s="8" t="n"/>
      <c r="M818" s="14">
        <f>IF($A818="","",$J818*$K818)</f>
        <v/>
      </c>
      <c r="N818" s="14">
        <f>IF($A818="","",$M818-$L818)</f>
        <v/>
      </c>
      <c r="O818" s="4" t="inlineStr">
        <is>
          <t>Card</t>
        </is>
      </c>
      <c r="P818" s="15">
        <f>IF($A818="","",DATE(YEAR($A818),MONTH($A818),1))</f>
        <v/>
      </c>
      <c r="Q818" s="16">
        <f>IF($H818="","",$J818*IFERROR(INDEX('Settings'!$L$10:$L$39,MATCH($H818,'Settings'!$I$10:$I$39,0)),0))</f>
        <v/>
      </c>
      <c r="R818" s="17">
        <f>IF($A818="","",$A818-WEEKDAY($A818,2)+1)</f>
        <v/>
      </c>
    </row>
    <row r="819">
      <c r="A819" s="5" t="n">
        <v>46271</v>
      </c>
      <c r="B819" s="4" t="inlineStr">
        <is>
          <t>North branch</t>
        </is>
      </c>
      <c r="C819" s="4" t="inlineStr">
        <is>
          <t>North 2</t>
        </is>
      </c>
      <c r="D819" s="4" t="inlineStr">
        <is>
          <t>Dr Layla Al Qahtani</t>
        </is>
      </c>
      <c r="E819" s="4" t="inlineStr">
        <is>
          <t>P-3080</t>
        </is>
      </c>
      <c r="F819" s="4" t="inlineStr">
        <is>
          <t>Returning</t>
        </is>
      </c>
      <c r="G819" s="4" t="inlineStr">
        <is>
          <t>Instagram</t>
        </is>
      </c>
      <c r="H819" s="4" t="inlineStr">
        <is>
          <t>Skin tag removal</t>
        </is>
      </c>
      <c r="I819" s="9">
        <f>IF($H819="","",IFERROR(INDEX('Settings'!$J$10:$J$39,MATCH($H819,'Settings'!$I$10:$I$39,0)),""))</f>
        <v/>
      </c>
      <c r="J819" s="6" t="n">
        <v>1</v>
      </c>
      <c r="K819" s="8" t="n">
        <v>500</v>
      </c>
      <c r="L819" s="8" t="n"/>
      <c r="M819" s="14">
        <f>IF($A819="","",$J819*$K819)</f>
        <v/>
      </c>
      <c r="N819" s="14">
        <f>IF($A819="","",$M819-$L819)</f>
        <v/>
      </c>
      <c r="O819" s="4" t="inlineStr">
        <is>
          <t>Cash</t>
        </is>
      </c>
      <c r="P819" s="15">
        <f>IF($A819="","",DATE(YEAR($A819),MONTH($A819),1))</f>
        <v/>
      </c>
      <c r="Q819" s="16">
        <f>IF($H819="","",$J819*IFERROR(INDEX('Settings'!$L$10:$L$39,MATCH($H819,'Settings'!$I$10:$I$39,0)),0))</f>
        <v/>
      </c>
      <c r="R819" s="17">
        <f>IF($A819="","",$A819-WEEKDAY($A819,2)+1)</f>
        <v/>
      </c>
    </row>
    <row r="820">
      <c r="A820" s="5" t="n">
        <v>46272</v>
      </c>
      <c r="B820" s="4" t="inlineStr">
        <is>
          <t>Main branch</t>
        </is>
      </c>
      <c r="C820" s="4" t="inlineStr">
        <is>
          <t>Main 1</t>
        </is>
      </c>
      <c r="D820" s="4" t="inlineStr">
        <is>
          <t>Dr Ahmed Mansour</t>
        </is>
      </c>
      <c r="E820" s="4" t="inlineStr">
        <is>
          <t>P-2674</t>
        </is>
      </c>
      <c r="F820" s="4" t="inlineStr">
        <is>
          <t>Returning</t>
        </is>
      </c>
      <c r="G820" s="4" t="inlineStr">
        <is>
          <t>Referral</t>
        </is>
      </c>
      <c r="H820" s="4" t="inlineStr">
        <is>
          <t>Follow-up visit</t>
        </is>
      </c>
      <c r="I820" s="9">
        <f>IF($H820="","",IFERROR(INDEX('Settings'!$J$10:$J$39,MATCH($H820,'Settings'!$I$10:$I$39,0)),""))</f>
        <v/>
      </c>
      <c r="J820" s="6" t="n">
        <v>1</v>
      </c>
      <c r="K820" s="8" t="n">
        <v>150</v>
      </c>
      <c r="L820" s="8" t="n"/>
      <c r="M820" s="14">
        <f>IF($A820="","",$J820*$K820)</f>
        <v/>
      </c>
      <c r="N820" s="14">
        <f>IF($A820="","",$M820-$L820)</f>
        <v/>
      </c>
      <c r="O820" s="4" t="inlineStr">
        <is>
          <t>Card</t>
        </is>
      </c>
      <c r="P820" s="15">
        <f>IF($A820="","",DATE(YEAR($A820),MONTH($A820),1))</f>
        <v/>
      </c>
      <c r="Q820" s="16">
        <f>IF($H820="","",$J820*IFERROR(INDEX('Settings'!$L$10:$L$39,MATCH($H820,'Settings'!$I$10:$I$39,0)),0))</f>
        <v/>
      </c>
      <c r="R820" s="17">
        <f>IF($A820="","",$A820-WEEKDAY($A820,2)+1)</f>
        <v/>
      </c>
    </row>
    <row r="821">
      <c r="A821" s="5" t="n">
        <v>46272</v>
      </c>
      <c r="B821" s="4" t="inlineStr">
        <is>
          <t>Main branch</t>
        </is>
      </c>
      <c r="C821" s="4" t="inlineStr">
        <is>
          <t>Main 2</t>
        </is>
      </c>
      <c r="D821" s="4" t="inlineStr">
        <is>
          <t>Dr Sara Al Harbi</t>
        </is>
      </c>
      <c r="E821" s="4" t="inlineStr">
        <is>
          <t>P-3446</t>
        </is>
      </c>
      <c r="F821" s="4" t="inlineStr">
        <is>
          <t>New</t>
        </is>
      </c>
      <c r="G821" s="4" t="inlineStr">
        <is>
          <t>Instagram</t>
        </is>
      </c>
      <c r="H821" s="4" t="inlineStr">
        <is>
          <t>Filler injection</t>
        </is>
      </c>
      <c r="I821" s="9">
        <f>IF($H821="","",IFERROR(INDEX('Settings'!$J$10:$J$39,MATCH($H821,'Settings'!$I$10:$I$39,0)),""))</f>
        <v/>
      </c>
      <c r="J821" s="6" t="n">
        <v>1</v>
      </c>
      <c r="K821" s="8" t="n">
        <v>1800</v>
      </c>
      <c r="L821" s="8" t="n"/>
      <c r="M821" s="14">
        <f>IF($A821="","",$J821*$K821)</f>
        <v/>
      </c>
      <c r="N821" s="14">
        <f>IF($A821="","",$M821-$L821)</f>
        <v/>
      </c>
      <c r="O821" s="4" t="inlineStr">
        <is>
          <t>Card</t>
        </is>
      </c>
      <c r="P821" s="15">
        <f>IF($A821="","",DATE(YEAR($A821),MONTH($A821),1))</f>
        <v/>
      </c>
      <c r="Q821" s="16">
        <f>IF($H821="","",$J821*IFERROR(INDEX('Settings'!$L$10:$L$39,MATCH($H821,'Settings'!$I$10:$I$39,0)),0))</f>
        <v/>
      </c>
      <c r="R821" s="17">
        <f>IF($A821="","",$A821-WEEKDAY($A821,2)+1)</f>
        <v/>
      </c>
    </row>
    <row r="822">
      <c r="A822" s="5" t="n">
        <v>46272</v>
      </c>
      <c r="B822" s="4" t="inlineStr">
        <is>
          <t>Main branch</t>
        </is>
      </c>
      <c r="C822" s="4" t="inlineStr">
        <is>
          <t>Main 2</t>
        </is>
      </c>
      <c r="D822" s="4" t="inlineStr">
        <is>
          <t>Dr Noura Al Subaie</t>
        </is>
      </c>
      <c r="E822" s="4" t="inlineStr">
        <is>
          <t>P-2473</t>
        </is>
      </c>
      <c r="F822" s="4" t="inlineStr">
        <is>
          <t>New</t>
        </is>
      </c>
      <c r="G822" s="4" t="inlineStr">
        <is>
          <t>Instagram</t>
        </is>
      </c>
      <c r="H822" s="4" t="inlineStr">
        <is>
          <t>Laser session, face</t>
        </is>
      </c>
      <c r="I822" s="9">
        <f>IF($H822="","",IFERROR(INDEX('Settings'!$J$10:$J$39,MATCH($H822,'Settings'!$I$10:$I$39,0)),""))</f>
        <v/>
      </c>
      <c r="J822" s="6" t="n">
        <v>1</v>
      </c>
      <c r="K822" s="8" t="n">
        <v>600</v>
      </c>
      <c r="L822" s="8" t="n"/>
      <c r="M822" s="14">
        <f>IF($A822="","",$J822*$K822)</f>
        <v/>
      </c>
      <c r="N822" s="14">
        <f>IF($A822="","",$M822-$L822)</f>
        <v/>
      </c>
      <c r="O822" s="4" t="inlineStr">
        <is>
          <t>Card</t>
        </is>
      </c>
      <c r="P822" s="15">
        <f>IF($A822="","",DATE(YEAR($A822),MONTH($A822),1))</f>
        <v/>
      </c>
      <c r="Q822" s="16">
        <f>IF($H822="","",$J822*IFERROR(INDEX('Settings'!$L$10:$L$39,MATCH($H822,'Settings'!$I$10:$I$39,0)),0))</f>
        <v/>
      </c>
      <c r="R822" s="17">
        <f>IF($A822="","",$A822-WEEKDAY($A822,2)+1)</f>
        <v/>
      </c>
    </row>
    <row r="823">
      <c r="A823" s="5" t="n">
        <v>46272</v>
      </c>
      <c r="B823" s="4" t="inlineStr">
        <is>
          <t>Main branch</t>
        </is>
      </c>
      <c r="C823" s="4" t="inlineStr">
        <is>
          <t>Main 2</t>
        </is>
      </c>
      <c r="D823" s="4" t="inlineStr">
        <is>
          <t>Dr Sara Al Harbi</t>
        </is>
      </c>
      <c r="E823" s="4" t="inlineStr">
        <is>
          <t>P-2170</t>
        </is>
      </c>
      <c r="F823" s="4" t="inlineStr">
        <is>
          <t>Returning</t>
        </is>
      </c>
      <c r="G823" s="4" t="inlineStr">
        <is>
          <t>Referral</t>
        </is>
      </c>
      <c r="H823" s="4" t="inlineStr">
        <is>
          <t>Facial cleansing</t>
        </is>
      </c>
      <c r="I823" s="9">
        <f>IF($H823="","",IFERROR(INDEX('Settings'!$J$10:$J$39,MATCH($H823,'Settings'!$I$10:$I$39,0)),""))</f>
        <v/>
      </c>
      <c r="J823" s="6" t="n">
        <v>1</v>
      </c>
      <c r="K823" s="8" t="n">
        <v>400</v>
      </c>
      <c r="L823" s="8" t="n"/>
      <c r="M823" s="14">
        <f>IF($A823="","",$J823*$K823)</f>
        <v/>
      </c>
      <c r="N823" s="14">
        <f>IF($A823="","",$M823-$L823)</f>
        <v/>
      </c>
      <c r="O823" s="4" t="inlineStr">
        <is>
          <t>Transfer</t>
        </is>
      </c>
      <c r="P823" s="15">
        <f>IF($A823="","",DATE(YEAR($A823),MONTH($A823),1))</f>
        <v/>
      </c>
      <c r="Q823" s="16">
        <f>IF($H823="","",$J823*IFERROR(INDEX('Settings'!$L$10:$L$39,MATCH($H823,'Settings'!$I$10:$I$39,0)),0))</f>
        <v/>
      </c>
      <c r="R823" s="17">
        <f>IF($A823="","",$A823-WEEKDAY($A823,2)+1)</f>
        <v/>
      </c>
    </row>
    <row r="824">
      <c r="A824" s="5" t="n">
        <v>46272</v>
      </c>
      <c r="B824" s="4" t="inlineStr">
        <is>
          <t>Main branch</t>
        </is>
      </c>
      <c r="C824" s="4" t="inlineStr">
        <is>
          <t>Main 3</t>
        </is>
      </c>
      <c r="D824" s="4" t="inlineStr">
        <is>
          <t>Dr Sara Al Harbi</t>
        </is>
      </c>
      <c r="E824" s="4" t="inlineStr">
        <is>
          <t>P-2554</t>
        </is>
      </c>
      <c r="F824" s="4" t="inlineStr">
        <is>
          <t>Returning</t>
        </is>
      </c>
      <c r="G824" s="4" t="inlineStr">
        <is>
          <t>Instagram</t>
        </is>
      </c>
      <c r="H824" s="4" t="inlineStr">
        <is>
          <t>Physiotherapy session</t>
        </is>
      </c>
      <c r="I824" s="9">
        <f>IF($H824="","",IFERROR(INDEX('Settings'!$J$10:$J$39,MATCH($H824,'Settings'!$I$10:$I$39,0)),""))</f>
        <v/>
      </c>
      <c r="J824" s="6" t="n">
        <v>1</v>
      </c>
      <c r="K824" s="8" t="n">
        <v>300</v>
      </c>
      <c r="L824" s="8" t="n">
        <v>60</v>
      </c>
      <c r="M824" s="14">
        <f>IF($A824="","",$J824*$K824)</f>
        <v/>
      </c>
      <c r="N824" s="14">
        <f>IF($A824="","",$M824-$L824)</f>
        <v/>
      </c>
      <c r="O824" s="4" t="inlineStr">
        <is>
          <t>Card</t>
        </is>
      </c>
      <c r="P824" s="15">
        <f>IF($A824="","",DATE(YEAR($A824),MONTH($A824),1))</f>
        <v/>
      </c>
      <c r="Q824" s="16">
        <f>IF($H824="","",$J824*IFERROR(INDEX('Settings'!$L$10:$L$39,MATCH($H824,'Settings'!$I$10:$I$39,0)),0))</f>
        <v/>
      </c>
      <c r="R824" s="17">
        <f>IF($A824="","",$A824-WEEKDAY($A824,2)+1)</f>
        <v/>
      </c>
    </row>
    <row r="825">
      <c r="A825" s="5" t="n">
        <v>46272</v>
      </c>
      <c r="B825" s="4" t="inlineStr">
        <is>
          <t>Main branch</t>
        </is>
      </c>
      <c r="C825" s="4" t="inlineStr">
        <is>
          <t>Main 3</t>
        </is>
      </c>
      <c r="D825" s="4" t="inlineStr">
        <is>
          <t>Dr Sara Al Harbi</t>
        </is>
      </c>
      <c r="E825" s="4" t="inlineStr">
        <is>
          <t>P-3463</t>
        </is>
      </c>
      <c r="F825" s="4" t="inlineStr">
        <is>
          <t>Returning</t>
        </is>
      </c>
      <c r="G825" s="4" t="inlineStr">
        <is>
          <t>Referral</t>
        </is>
      </c>
      <c r="H825" s="4" t="inlineStr">
        <is>
          <t>Botulinum toxin</t>
        </is>
      </c>
      <c r="I825" s="9">
        <f>IF($H825="","",IFERROR(INDEX('Settings'!$J$10:$J$39,MATCH($H825,'Settings'!$I$10:$I$39,0)),""))</f>
        <v/>
      </c>
      <c r="J825" s="6" t="n">
        <v>1</v>
      </c>
      <c r="K825" s="8" t="n">
        <v>1500</v>
      </c>
      <c r="L825" s="8" t="n"/>
      <c r="M825" s="14">
        <f>IF($A825="","",$J825*$K825)</f>
        <v/>
      </c>
      <c r="N825" s="14">
        <f>IF($A825="","",$M825-$L825)</f>
        <v/>
      </c>
      <c r="O825" s="4" t="inlineStr">
        <is>
          <t>Cash</t>
        </is>
      </c>
      <c r="P825" s="15">
        <f>IF($A825="","",DATE(YEAR($A825),MONTH($A825),1))</f>
        <v/>
      </c>
      <c r="Q825" s="16">
        <f>IF($H825="","",$J825*IFERROR(INDEX('Settings'!$L$10:$L$39,MATCH($H825,'Settings'!$I$10:$I$39,0)),0))</f>
        <v/>
      </c>
      <c r="R825" s="17">
        <f>IF($A825="","",$A825-WEEKDAY($A825,2)+1)</f>
        <v/>
      </c>
    </row>
    <row r="826">
      <c r="A826" s="5" t="n">
        <v>46272</v>
      </c>
      <c r="B826" s="4" t="inlineStr">
        <is>
          <t>Main branch</t>
        </is>
      </c>
      <c r="C826" s="4" t="inlineStr">
        <is>
          <t>Main 4</t>
        </is>
      </c>
      <c r="D826" s="4" t="inlineStr">
        <is>
          <t>Dr Ahmed Mansour</t>
        </is>
      </c>
      <c r="E826" s="4" t="inlineStr">
        <is>
          <t>P-3180</t>
        </is>
      </c>
      <c r="F826" s="4" t="inlineStr">
        <is>
          <t>Returning</t>
        </is>
      </c>
      <c r="G826" s="4" t="inlineStr">
        <is>
          <t>Google</t>
        </is>
      </c>
      <c r="H826" s="4" t="inlineStr">
        <is>
          <t>Skin tag removal</t>
        </is>
      </c>
      <c r="I826" s="9">
        <f>IF($H826="","",IFERROR(INDEX('Settings'!$J$10:$J$39,MATCH($H826,'Settings'!$I$10:$I$39,0)),""))</f>
        <v/>
      </c>
      <c r="J826" s="6" t="n">
        <v>1</v>
      </c>
      <c r="K826" s="8" t="n">
        <v>500</v>
      </c>
      <c r="L826" s="8" t="n"/>
      <c r="M826" s="14">
        <f>IF($A826="","",$J826*$K826)</f>
        <v/>
      </c>
      <c r="N826" s="14">
        <f>IF($A826="","",$M826-$L826)</f>
        <v/>
      </c>
      <c r="O826" s="4" t="inlineStr">
        <is>
          <t>Cash</t>
        </is>
      </c>
      <c r="P826" s="15">
        <f>IF($A826="","",DATE(YEAR($A826),MONTH($A826),1))</f>
        <v/>
      </c>
      <c r="Q826" s="16">
        <f>IF($H826="","",$J826*IFERROR(INDEX('Settings'!$L$10:$L$39,MATCH($H826,'Settings'!$I$10:$I$39,0)),0))</f>
        <v/>
      </c>
      <c r="R826" s="17">
        <f>IF($A826="","",$A826-WEEKDAY($A826,2)+1)</f>
        <v/>
      </c>
    </row>
    <row r="827">
      <c r="A827" s="5" t="n">
        <v>46272</v>
      </c>
      <c r="B827" s="4" t="inlineStr">
        <is>
          <t>Main branch</t>
        </is>
      </c>
      <c r="C827" s="4" t="inlineStr">
        <is>
          <t>Main 4</t>
        </is>
      </c>
      <c r="D827" s="4" t="inlineStr">
        <is>
          <t>Dr Sara Al Harbi</t>
        </is>
      </c>
      <c r="E827" s="4" t="inlineStr">
        <is>
          <t>P-2455</t>
        </is>
      </c>
      <c r="F827" s="4" t="inlineStr">
        <is>
          <t>New</t>
        </is>
      </c>
      <c r="G827" s="4" t="inlineStr">
        <is>
          <t>Walk-in</t>
        </is>
      </c>
      <c r="H827" s="4" t="inlineStr">
        <is>
          <t>Skin tag removal</t>
        </is>
      </c>
      <c r="I827" s="9">
        <f>IF($H827="","",IFERROR(INDEX('Settings'!$J$10:$J$39,MATCH($H827,'Settings'!$I$10:$I$39,0)),""))</f>
        <v/>
      </c>
      <c r="J827" s="6" t="n">
        <v>1</v>
      </c>
      <c r="K827" s="8" t="n">
        <v>500</v>
      </c>
      <c r="L827" s="8" t="n"/>
      <c r="M827" s="14">
        <f>IF($A827="","",$J827*$K827)</f>
        <v/>
      </c>
      <c r="N827" s="14">
        <f>IF($A827="","",$M827-$L827)</f>
        <v/>
      </c>
      <c r="O827" s="4" t="inlineStr">
        <is>
          <t>Cash</t>
        </is>
      </c>
      <c r="P827" s="15">
        <f>IF($A827="","",DATE(YEAR($A827),MONTH($A827),1))</f>
        <v/>
      </c>
      <c r="Q827" s="16">
        <f>IF($H827="","",$J827*IFERROR(INDEX('Settings'!$L$10:$L$39,MATCH($H827,'Settings'!$I$10:$I$39,0)),0))</f>
        <v/>
      </c>
      <c r="R827" s="17">
        <f>IF($A827="","",$A827-WEEKDAY($A827,2)+1)</f>
        <v/>
      </c>
    </row>
    <row r="828">
      <c r="A828" s="5" t="n">
        <v>46272</v>
      </c>
      <c r="B828" s="4" t="inlineStr">
        <is>
          <t>Main branch</t>
        </is>
      </c>
      <c r="C828" s="4" t="inlineStr">
        <is>
          <t>Main 4</t>
        </is>
      </c>
      <c r="D828" s="4" t="inlineStr">
        <is>
          <t>Dr Noura Al Subaie</t>
        </is>
      </c>
      <c r="E828" s="4" t="inlineStr">
        <is>
          <t>P-3324</t>
        </is>
      </c>
      <c r="F828" s="4" t="inlineStr">
        <is>
          <t>Returning</t>
        </is>
      </c>
      <c r="G828" s="4" t="inlineStr">
        <is>
          <t>Referral</t>
        </is>
      </c>
      <c r="H828" s="4" t="inlineStr">
        <is>
          <t>Follow-up visit</t>
        </is>
      </c>
      <c r="I828" s="9">
        <f>IF($H828="","",IFERROR(INDEX('Settings'!$J$10:$J$39,MATCH($H828,'Settings'!$I$10:$I$39,0)),""))</f>
        <v/>
      </c>
      <c r="J828" s="6" t="n">
        <v>1</v>
      </c>
      <c r="K828" s="8" t="n">
        <v>150</v>
      </c>
      <c r="L828" s="8" t="n"/>
      <c r="M828" s="14">
        <f>IF($A828="","",$J828*$K828)</f>
        <v/>
      </c>
      <c r="N828" s="14">
        <f>IF($A828="","",$M828-$L828)</f>
        <v/>
      </c>
      <c r="O828" s="4" t="inlineStr">
        <is>
          <t>Card</t>
        </is>
      </c>
      <c r="P828" s="15">
        <f>IF($A828="","",DATE(YEAR($A828),MONTH($A828),1))</f>
        <v/>
      </c>
      <c r="Q828" s="16">
        <f>IF($H828="","",$J828*IFERROR(INDEX('Settings'!$L$10:$L$39,MATCH($H828,'Settings'!$I$10:$I$39,0)),0))</f>
        <v/>
      </c>
      <c r="R828" s="17">
        <f>IF($A828="","",$A828-WEEKDAY($A828,2)+1)</f>
        <v/>
      </c>
    </row>
    <row r="829">
      <c r="A829" s="5" t="n">
        <v>46272</v>
      </c>
      <c r="B829" s="4" t="inlineStr">
        <is>
          <t>North branch</t>
        </is>
      </c>
      <c r="C829" s="4" t="inlineStr">
        <is>
          <t>North 1</t>
        </is>
      </c>
      <c r="D829" s="4" t="inlineStr">
        <is>
          <t>Dr Mohamed Adel</t>
        </is>
      </c>
      <c r="E829" s="4" t="inlineStr">
        <is>
          <t>P-2515</t>
        </is>
      </c>
      <c r="F829" s="4" t="inlineStr">
        <is>
          <t>Returning</t>
        </is>
      </c>
      <c r="G829" s="4" t="inlineStr">
        <is>
          <t>Instagram</t>
        </is>
      </c>
      <c r="H829" s="4" t="inlineStr">
        <is>
          <t>Specialist consultation</t>
        </is>
      </c>
      <c r="I829" s="9">
        <f>IF($H829="","",IFERROR(INDEX('Settings'!$J$10:$J$39,MATCH($H829,'Settings'!$I$10:$I$39,0)),""))</f>
        <v/>
      </c>
      <c r="J829" s="6" t="n">
        <v>1</v>
      </c>
      <c r="K829" s="8" t="n">
        <v>350</v>
      </c>
      <c r="L829" s="8" t="n"/>
      <c r="M829" s="14">
        <f>IF($A829="","",$J829*$K829)</f>
        <v/>
      </c>
      <c r="N829" s="14">
        <f>IF($A829="","",$M829-$L829)</f>
        <v/>
      </c>
      <c r="O829" s="4" t="inlineStr">
        <is>
          <t>Card</t>
        </is>
      </c>
      <c r="P829" s="15">
        <f>IF($A829="","",DATE(YEAR($A829),MONTH($A829),1))</f>
        <v/>
      </c>
      <c r="Q829" s="16">
        <f>IF($H829="","",$J829*IFERROR(INDEX('Settings'!$L$10:$L$39,MATCH($H829,'Settings'!$I$10:$I$39,0)),0))</f>
        <v/>
      </c>
      <c r="R829" s="17">
        <f>IF($A829="","",$A829-WEEKDAY($A829,2)+1)</f>
        <v/>
      </c>
    </row>
    <row r="830">
      <c r="A830" s="5" t="n">
        <v>46272</v>
      </c>
      <c r="B830" s="4" t="inlineStr">
        <is>
          <t>North branch</t>
        </is>
      </c>
      <c r="C830" s="4" t="inlineStr">
        <is>
          <t>North 1</t>
        </is>
      </c>
      <c r="D830" s="4" t="inlineStr">
        <is>
          <t>Dr Layla Al Qahtani</t>
        </is>
      </c>
      <c r="E830" s="4" t="inlineStr">
        <is>
          <t>P-2337</t>
        </is>
      </c>
      <c r="F830" s="4" t="inlineStr">
        <is>
          <t>Returning</t>
        </is>
      </c>
      <c r="G830" s="4" t="inlineStr">
        <is>
          <t>Google</t>
        </is>
      </c>
      <c r="H830" s="4" t="inlineStr">
        <is>
          <t>Physiotherapy session</t>
        </is>
      </c>
      <c r="I830" s="9">
        <f>IF($H830="","",IFERROR(INDEX('Settings'!$J$10:$J$39,MATCH($H830,'Settings'!$I$10:$I$39,0)),""))</f>
        <v/>
      </c>
      <c r="J830" s="6" t="n">
        <v>1</v>
      </c>
      <c r="K830" s="8" t="n">
        <v>300</v>
      </c>
      <c r="L830" s="8" t="n"/>
      <c r="M830" s="14">
        <f>IF($A830="","",$J830*$K830)</f>
        <v/>
      </c>
      <c r="N830" s="14">
        <f>IF($A830="","",$M830-$L830)</f>
        <v/>
      </c>
      <c r="O830" s="4" t="inlineStr">
        <is>
          <t>Card</t>
        </is>
      </c>
      <c r="P830" s="15">
        <f>IF($A830="","",DATE(YEAR($A830),MONTH($A830),1))</f>
        <v/>
      </c>
      <c r="Q830" s="16">
        <f>IF($H830="","",$J830*IFERROR(INDEX('Settings'!$L$10:$L$39,MATCH($H830,'Settings'!$I$10:$I$39,0)),0))</f>
        <v/>
      </c>
      <c r="R830" s="17">
        <f>IF($A830="","",$A830-WEEKDAY($A830,2)+1)</f>
        <v/>
      </c>
    </row>
    <row r="831">
      <c r="A831" s="5" t="n">
        <v>46272</v>
      </c>
      <c r="B831" s="4" t="inlineStr">
        <is>
          <t>North branch</t>
        </is>
      </c>
      <c r="C831" s="4" t="inlineStr">
        <is>
          <t>North 1</t>
        </is>
      </c>
      <c r="D831" s="4" t="inlineStr">
        <is>
          <t>Dr Khaled Youssef</t>
        </is>
      </c>
      <c r="E831" s="4" t="inlineStr">
        <is>
          <t>P-2349</t>
        </is>
      </c>
      <c r="F831" s="4" t="inlineStr">
        <is>
          <t>Returning</t>
        </is>
      </c>
      <c r="G831" s="4" t="inlineStr">
        <is>
          <t>Google</t>
        </is>
      </c>
      <c r="H831" s="4" t="inlineStr">
        <is>
          <t>Specialist consultation</t>
        </is>
      </c>
      <c r="I831" s="9">
        <f>IF($H831="","",IFERROR(INDEX('Settings'!$J$10:$J$39,MATCH($H831,'Settings'!$I$10:$I$39,0)),""))</f>
        <v/>
      </c>
      <c r="J831" s="6" t="n">
        <v>1</v>
      </c>
      <c r="K831" s="8" t="n">
        <v>350</v>
      </c>
      <c r="L831" s="8" t="n"/>
      <c r="M831" s="14">
        <f>IF($A831="","",$J831*$K831)</f>
        <v/>
      </c>
      <c r="N831" s="14">
        <f>IF($A831="","",$M831-$L831)</f>
        <v/>
      </c>
      <c r="O831" s="4" t="inlineStr">
        <is>
          <t>Transfer</t>
        </is>
      </c>
      <c r="P831" s="15">
        <f>IF($A831="","",DATE(YEAR($A831),MONTH($A831),1))</f>
        <v/>
      </c>
      <c r="Q831" s="16">
        <f>IF($H831="","",$J831*IFERROR(INDEX('Settings'!$L$10:$L$39,MATCH($H831,'Settings'!$I$10:$I$39,0)),0))</f>
        <v/>
      </c>
      <c r="R831" s="17">
        <f>IF($A831="","",$A831-WEEKDAY($A831,2)+1)</f>
        <v/>
      </c>
    </row>
    <row r="832">
      <c r="A832" s="5" t="n">
        <v>46272</v>
      </c>
      <c r="B832" s="4" t="inlineStr">
        <is>
          <t>North branch</t>
        </is>
      </c>
      <c r="C832" s="4" t="inlineStr">
        <is>
          <t>North 1</t>
        </is>
      </c>
      <c r="D832" s="4" t="inlineStr">
        <is>
          <t>Dr Khaled Youssef</t>
        </is>
      </c>
      <c r="E832" s="4" t="inlineStr">
        <is>
          <t>P-2298</t>
        </is>
      </c>
      <c r="F832" s="4" t="inlineStr">
        <is>
          <t>Returning</t>
        </is>
      </c>
      <c r="G832" s="4" t="inlineStr">
        <is>
          <t>WhatsApp</t>
        </is>
      </c>
      <c r="H832" s="4" t="inlineStr">
        <is>
          <t>Laser session, body</t>
        </is>
      </c>
      <c r="I832" s="9">
        <f>IF($H832="","",IFERROR(INDEX('Settings'!$J$10:$J$39,MATCH($H832,'Settings'!$I$10:$I$39,0)),""))</f>
        <v/>
      </c>
      <c r="J832" s="6" t="n">
        <v>1</v>
      </c>
      <c r="K832" s="8" t="n">
        <v>1200</v>
      </c>
      <c r="L832" s="8" t="n"/>
      <c r="M832" s="14">
        <f>IF($A832="","",$J832*$K832)</f>
        <v/>
      </c>
      <c r="N832" s="14">
        <f>IF($A832="","",$M832-$L832)</f>
        <v/>
      </c>
      <c r="O832" s="4" t="inlineStr">
        <is>
          <t>Card</t>
        </is>
      </c>
      <c r="P832" s="15">
        <f>IF($A832="","",DATE(YEAR($A832),MONTH($A832),1))</f>
        <v/>
      </c>
      <c r="Q832" s="16">
        <f>IF($H832="","",$J832*IFERROR(INDEX('Settings'!$L$10:$L$39,MATCH($H832,'Settings'!$I$10:$I$39,0)),0))</f>
        <v/>
      </c>
      <c r="R832" s="17">
        <f>IF($A832="","",$A832-WEEKDAY($A832,2)+1)</f>
        <v/>
      </c>
    </row>
    <row r="833">
      <c r="A833" s="5" t="n">
        <v>46272</v>
      </c>
      <c r="B833" s="4" t="inlineStr">
        <is>
          <t>North branch</t>
        </is>
      </c>
      <c r="C833" s="4" t="inlineStr">
        <is>
          <t>North 2</t>
        </is>
      </c>
      <c r="D833" s="4" t="inlineStr">
        <is>
          <t>Dr Khaled Youssef</t>
        </is>
      </c>
      <c r="E833" s="4" t="inlineStr">
        <is>
          <t>P-2983</t>
        </is>
      </c>
      <c r="F833" s="4" t="inlineStr">
        <is>
          <t>Returning</t>
        </is>
      </c>
      <c r="G833" s="4" t="inlineStr">
        <is>
          <t>Google</t>
        </is>
      </c>
      <c r="H833" s="4" t="inlineStr">
        <is>
          <t>Physiotherapy session</t>
        </is>
      </c>
      <c r="I833" s="9">
        <f>IF($H833="","",IFERROR(INDEX('Settings'!$J$10:$J$39,MATCH($H833,'Settings'!$I$10:$I$39,0)),""))</f>
        <v/>
      </c>
      <c r="J833" s="6" t="n">
        <v>1</v>
      </c>
      <c r="K833" s="8" t="n">
        <v>300</v>
      </c>
      <c r="L833" s="8" t="n"/>
      <c r="M833" s="14">
        <f>IF($A833="","",$J833*$K833)</f>
        <v/>
      </c>
      <c r="N833" s="14">
        <f>IF($A833="","",$M833-$L833)</f>
        <v/>
      </c>
      <c r="O833" s="4" t="inlineStr">
        <is>
          <t>Card</t>
        </is>
      </c>
      <c r="P833" s="15">
        <f>IF($A833="","",DATE(YEAR($A833),MONTH($A833),1))</f>
        <v/>
      </c>
      <c r="Q833" s="16">
        <f>IF($H833="","",$J833*IFERROR(INDEX('Settings'!$L$10:$L$39,MATCH($H833,'Settings'!$I$10:$I$39,0)),0))</f>
        <v/>
      </c>
      <c r="R833" s="17">
        <f>IF($A833="","",$A833-WEEKDAY($A833,2)+1)</f>
        <v/>
      </c>
    </row>
    <row r="834">
      <c r="A834" s="5" t="n">
        <v>46272</v>
      </c>
      <c r="B834" s="4" t="inlineStr">
        <is>
          <t>North branch</t>
        </is>
      </c>
      <c r="C834" s="4" t="inlineStr">
        <is>
          <t>North 2</t>
        </is>
      </c>
      <c r="D834" s="4" t="inlineStr">
        <is>
          <t>Dr Mohamed Adel</t>
        </is>
      </c>
      <c r="E834" s="4" t="inlineStr">
        <is>
          <t>P-2591</t>
        </is>
      </c>
      <c r="F834" s="4" t="inlineStr">
        <is>
          <t>New</t>
        </is>
      </c>
      <c r="G834" s="4" t="inlineStr">
        <is>
          <t>Google</t>
        </is>
      </c>
      <c r="H834" s="4" t="inlineStr">
        <is>
          <t>Physiotherapy session</t>
        </is>
      </c>
      <c r="I834" s="9">
        <f>IF($H834="","",IFERROR(INDEX('Settings'!$J$10:$J$39,MATCH($H834,'Settings'!$I$10:$I$39,0)),""))</f>
        <v/>
      </c>
      <c r="J834" s="6" t="n">
        <v>1</v>
      </c>
      <c r="K834" s="8" t="n">
        <v>300</v>
      </c>
      <c r="L834" s="8" t="n">
        <v>60</v>
      </c>
      <c r="M834" s="14">
        <f>IF($A834="","",$J834*$K834)</f>
        <v/>
      </c>
      <c r="N834" s="14">
        <f>IF($A834="","",$M834-$L834)</f>
        <v/>
      </c>
      <c r="O834" s="4" t="inlineStr">
        <is>
          <t>Card</t>
        </is>
      </c>
      <c r="P834" s="15">
        <f>IF($A834="","",DATE(YEAR($A834),MONTH($A834),1))</f>
        <v/>
      </c>
      <c r="Q834" s="16">
        <f>IF($H834="","",$J834*IFERROR(INDEX('Settings'!$L$10:$L$39,MATCH($H834,'Settings'!$I$10:$I$39,0)),0))</f>
        <v/>
      </c>
      <c r="R834" s="17">
        <f>IF($A834="","",$A834-WEEKDAY($A834,2)+1)</f>
        <v/>
      </c>
    </row>
    <row r="835">
      <c r="A835" s="5" t="n">
        <v>46272</v>
      </c>
      <c r="B835" s="4" t="inlineStr">
        <is>
          <t>North branch</t>
        </is>
      </c>
      <c r="C835" s="4" t="inlineStr">
        <is>
          <t>North 2</t>
        </is>
      </c>
      <c r="D835" s="4" t="inlineStr">
        <is>
          <t>Dr Layla Al Qahtani</t>
        </is>
      </c>
      <c r="E835" s="4" t="inlineStr">
        <is>
          <t>P-2723</t>
        </is>
      </c>
      <c r="F835" s="4" t="inlineStr">
        <is>
          <t>New</t>
        </is>
      </c>
      <c r="G835" s="4" t="inlineStr">
        <is>
          <t>Walk-in</t>
        </is>
      </c>
      <c r="H835" s="4" t="inlineStr">
        <is>
          <t>Specialist consultation</t>
        </is>
      </c>
      <c r="I835" s="9">
        <f>IF($H835="","",IFERROR(INDEX('Settings'!$J$10:$J$39,MATCH($H835,'Settings'!$I$10:$I$39,0)),""))</f>
        <v/>
      </c>
      <c r="J835" s="6" t="n">
        <v>1</v>
      </c>
      <c r="K835" s="8" t="n">
        <v>350</v>
      </c>
      <c r="L835" s="8" t="n"/>
      <c r="M835" s="14">
        <f>IF($A835="","",$J835*$K835)</f>
        <v/>
      </c>
      <c r="N835" s="14">
        <f>IF($A835="","",$M835-$L835)</f>
        <v/>
      </c>
      <c r="O835" s="4" t="inlineStr">
        <is>
          <t>Card</t>
        </is>
      </c>
      <c r="P835" s="15">
        <f>IF($A835="","",DATE(YEAR($A835),MONTH($A835),1))</f>
        <v/>
      </c>
      <c r="Q835" s="16">
        <f>IF($H835="","",$J835*IFERROR(INDEX('Settings'!$L$10:$L$39,MATCH($H835,'Settings'!$I$10:$I$39,0)),0))</f>
        <v/>
      </c>
      <c r="R835" s="17">
        <f>IF($A835="","",$A835-WEEKDAY($A835,2)+1)</f>
        <v/>
      </c>
    </row>
    <row r="836">
      <c r="A836" s="5" t="n">
        <v>46272</v>
      </c>
      <c r="B836" s="4" t="inlineStr">
        <is>
          <t>North branch</t>
        </is>
      </c>
      <c r="C836" s="4" t="inlineStr">
        <is>
          <t>North 2</t>
        </is>
      </c>
      <c r="D836" s="4" t="inlineStr">
        <is>
          <t>Dr Layla Al Qahtani</t>
        </is>
      </c>
      <c r="E836" s="4" t="inlineStr">
        <is>
          <t>P-2938</t>
        </is>
      </c>
      <c r="F836" s="4" t="inlineStr">
        <is>
          <t>New</t>
        </is>
      </c>
      <c r="G836" s="4" t="inlineStr">
        <is>
          <t>Instagram</t>
        </is>
      </c>
      <c r="H836" s="4" t="inlineStr">
        <is>
          <t>Sunscreen cream</t>
        </is>
      </c>
      <c r="I836" s="9">
        <f>IF($H836="","",IFERROR(INDEX('Settings'!$J$10:$J$39,MATCH($H836,'Settings'!$I$10:$I$39,0)),""))</f>
        <v/>
      </c>
      <c r="J836" s="6" t="n">
        <v>2</v>
      </c>
      <c r="K836" s="8" t="n">
        <v>120</v>
      </c>
      <c r="L836" s="8" t="n">
        <v>40</v>
      </c>
      <c r="M836" s="14">
        <f>IF($A836="","",$J836*$K836)</f>
        <v/>
      </c>
      <c r="N836" s="14">
        <f>IF($A836="","",$M836-$L836)</f>
        <v/>
      </c>
      <c r="O836" s="4" t="inlineStr">
        <is>
          <t>Card</t>
        </is>
      </c>
      <c r="P836" s="15">
        <f>IF($A836="","",DATE(YEAR($A836),MONTH($A836),1))</f>
        <v/>
      </c>
      <c r="Q836" s="16">
        <f>IF($H836="","",$J836*IFERROR(INDEX('Settings'!$L$10:$L$39,MATCH($H836,'Settings'!$I$10:$I$39,0)),0))</f>
        <v/>
      </c>
      <c r="R836" s="17">
        <f>IF($A836="","",$A836-WEEKDAY($A836,2)+1)</f>
        <v/>
      </c>
    </row>
    <row r="837">
      <c r="A837" s="5" t="n">
        <v>46272</v>
      </c>
      <c r="B837" s="4" t="inlineStr">
        <is>
          <t>North branch</t>
        </is>
      </c>
      <c r="C837" s="4" t="inlineStr">
        <is>
          <t>North 2</t>
        </is>
      </c>
      <c r="D837" s="4" t="inlineStr">
        <is>
          <t>Dr Mohamed Adel</t>
        </is>
      </c>
      <c r="E837" s="4" t="inlineStr">
        <is>
          <t>P-2296</t>
        </is>
      </c>
      <c r="F837" s="4" t="inlineStr">
        <is>
          <t>Returning</t>
        </is>
      </c>
      <c r="G837" s="4" t="inlineStr">
        <is>
          <t>Walk-in</t>
        </is>
      </c>
      <c r="H837" s="4" t="inlineStr">
        <is>
          <t>Laser session, body</t>
        </is>
      </c>
      <c r="I837" s="9">
        <f>IF($H837="","",IFERROR(INDEX('Settings'!$J$10:$J$39,MATCH($H837,'Settings'!$I$10:$I$39,0)),""))</f>
        <v/>
      </c>
      <c r="J837" s="6" t="n">
        <v>1</v>
      </c>
      <c r="K837" s="8" t="n">
        <v>1200</v>
      </c>
      <c r="L837" s="8" t="n"/>
      <c r="M837" s="14">
        <f>IF($A837="","",$J837*$K837)</f>
        <v/>
      </c>
      <c r="N837" s="14">
        <f>IF($A837="","",$M837-$L837)</f>
        <v/>
      </c>
      <c r="O837" s="4" t="inlineStr">
        <is>
          <t>Insurance</t>
        </is>
      </c>
      <c r="P837" s="15">
        <f>IF($A837="","",DATE(YEAR($A837),MONTH($A837),1))</f>
        <v/>
      </c>
      <c r="Q837" s="16">
        <f>IF($H837="","",$J837*IFERROR(INDEX('Settings'!$L$10:$L$39,MATCH($H837,'Settings'!$I$10:$I$39,0)),0))</f>
        <v/>
      </c>
      <c r="R837" s="17">
        <f>IF($A837="","",$A837-WEEKDAY($A837,2)+1)</f>
        <v/>
      </c>
    </row>
    <row r="838">
      <c r="A838" s="5" t="n">
        <v>46273</v>
      </c>
      <c r="B838" s="4" t="inlineStr">
        <is>
          <t>Main branch</t>
        </is>
      </c>
      <c r="C838" s="4" t="inlineStr">
        <is>
          <t>Main 1</t>
        </is>
      </c>
      <c r="D838" s="4" t="inlineStr">
        <is>
          <t>Dr Noura Al Subaie</t>
        </is>
      </c>
      <c r="E838" s="4" t="inlineStr">
        <is>
          <t>P-3113</t>
        </is>
      </c>
      <c r="F838" s="4" t="inlineStr">
        <is>
          <t>New</t>
        </is>
      </c>
      <c r="G838" s="4" t="inlineStr">
        <is>
          <t>Google</t>
        </is>
      </c>
      <c r="H838" s="4" t="inlineStr">
        <is>
          <t>Specialist consultation</t>
        </is>
      </c>
      <c r="I838" s="9">
        <f>IF($H838="","",IFERROR(INDEX('Settings'!$J$10:$J$39,MATCH($H838,'Settings'!$I$10:$I$39,0)),""))</f>
        <v/>
      </c>
      <c r="J838" s="6" t="n">
        <v>1</v>
      </c>
      <c r="K838" s="8" t="n">
        <v>350</v>
      </c>
      <c r="L838" s="8" t="n"/>
      <c r="M838" s="14">
        <f>IF($A838="","",$J838*$K838)</f>
        <v/>
      </c>
      <c r="N838" s="14">
        <f>IF($A838="","",$M838-$L838)</f>
        <v/>
      </c>
      <c r="O838" s="4" t="inlineStr">
        <is>
          <t>Transfer</t>
        </is>
      </c>
      <c r="P838" s="15">
        <f>IF($A838="","",DATE(YEAR($A838),MONTH($A838),1))</f>
        <v/>
      </c>
      <c r="Q838" s="16">
        <f>IF($H838="","",$J838*IFERROR(INDEX('Settings'!$L$10:$L$39,MATCH($H838,'Settings'!$I$10:$I$39,0)),0))</f>
        <v/>
      </c>
      <c r="R838" s="17">
        <f>IF($A838="","",$A838-WEEKDAY($A838,2)+1)</f>
        <v/>
      </c>
    </row>
    <row r="839">
      <c r="A839" s="5" t="n">
        <v>46273</v>
      </c>
      <c r="B839" s="4" t="inlineStr">
        <is>
          <t>Main branch</t>
        </is>
      </c>
      <c r="C839" s="4" t="inlineStr">
        <is>
          <t>Main 1</t>
        </is>
      </c>
      <c r="D839" s="4" t="inlineStr">
        <is>
          <t>Dr Noura Al Subaie</t>
        </is>
      </c>
      <c r="E839" s="4" t="inlineStr">
        <is>
          <t>P-3301</t>
        </is>
      </c>
      <c r="F839" s="4" t="inlineStr">
        <is>
          <t>Returning</t>
        </is>
      </c>
      <c r="G839" s="4" t="inlineStr">
        <is>
          <t>Walk-in</t>
        </is>
      </c>
      <c r="H839" s="4" t="inlineStr">
        <is>
          <t>Laser session, face</t>
        </is>
      </c>
      <c r="I839" s="9">
        <f>IF($H839="","",IFERROR(INDEX('Settings'!$J$10:$J$39,MATCH($H839,'Settings'!$I$10:$I$39,0)),""))</f>
        <v/>
      </c>
      <c r="J839" s="6" t="n">
        <v>1</v>
      </c>
      <c r="K839" s="8" t="n">
        <v>600</v>
      </c>
      <c r="L839" s="8" t="n"/>
      <c r="M839" s="14">
        <f>IF($A839="","",$J839*$K839)</f>
        <v/>
      </c>
      <c r="N839" s="14">
        <f>IF($A839="","",$M839-$L839)</f>
        <v/>
      </c>
      <c r="O839" s="4" t="inlineStr">
        <is>
          <t>Card</t>
        </is>
      </c>
      <c r="P839" s="15">
        <f>IF($A839="","",DATE(YEAR($A839),MONTH($A839),1))</f>
        <v/>
      </c>
      <c r="Q839" s="16">
        <f>IF($H839="","",$J839*IFERROR(INDEX('Settings'!$L$10:$L$39,MATCH($H839,'Settings'!$I$10:$I$39,0)),0))</f>
        <v/>
      </c>
      <c r="R839" s="17">
        <f>IF($A839="","",$A839-WEEKDAY($A839,2)+1)</f>
        <v/>
      </c>
    </row>
    <row r="840">
      <c r="A840" s="5" t="n">
        <v>46273</v>
      </c>
      <c r="B840" s="4" t="inlineStr">
        <is>
          <t>Main branch</t>
        </is>
      </c>
      <c r="C840" s="4" t="inlineStr">
        <is>
          <t>Main 2</t>
        </is>
      </c>
      <c r="D840" s="4" t="inlineStr">
        <is>
          <t>Dr Sara Al Harbi</t>
        </is>
      </c>
      <c r="E840" s="4" t="inlineStr">
        <is>
          <t>P-2747</t>
        </is>
      </c>
      <c r="F840" s="4" t="inlineStr">
        <is>
          <t>Returning</t>
        </is>
      </c>
      <c r="G840" s="4" t="inlineStr">
        <is>
          <t>WhatsApp</t>
        </is>
      </c>
      <c r="H840" s="4" t="inlineStr">
        <is>
          <t>Laser session, face</t>
        </is>
      </c>
      <c r="I840" s="9">
        <f>IF($H840="","",IFERROR(INDEX('Settings'!$J$10:$J$39,MATCH($H840,'Settings'!$I$10:$I$39,0)),""))</f>
        <v/>
      </c>
      <c r="J840" s="6" t="n">
        <v>1</v>
      </c>
      <c r="K840" s="8" t="n">
        <v>600</v>
      </c>
      <c r="L840" s="8" t="n">
        <v>120</v>
      </c>
      <c r="M840" s="14">
        <f>IF($A840="","",$J840*$K840)</f>
        <v/>
      </c>
      <c r="N840" s="14">
        <f>IF($A840="","",$M840-$L840)</f>
        <v/>
      </c>
      <c r="O840" s="4" t="inlineStr">
        <is>
          <t>Card</t>
        </is>
      </c>
      <c r="P840" s="15">
        <f>IF($A840="","",DATE(YEAR($A840),MONTH($A840),1))</f>
        <v/>
      </c>
      <c r="Q840" s="16">
        <f>IF($H840="","",$J840*IFERROR(INDEX('Settings'!$L$10:$L$39,MATCH($H840,'Settings'!$I$10:$I$39,0)),0))</f>
        <v/>
      </c>
      <c r="R840" s="17">
        <f>IF($A840="","",$A840-WEEKDAY($A840,2)+1)</f>
        <v/>
      </c>
    </row>
    <row r="841">
      <c r="A841" s="5" t="n">
        <v>46273</v>
      </c>
      <c r="B841" s="4" t="inlineStr">
        <is>
          <t>Main branch</t>
        </is>
      </c>
      <c r="C841" s="4" t="inlineStr">
        <is>
          <t>Main 3</t>
        </is>
      </c>
      <c r="D841" s="4" t="inlineStr">
        <is>
          <t>Dr Noura Al Subaie</t>
        </is>
      </c>
      <c r="E841" s="4" t="inlineStr">
        <is>
          <t>P-2682</t>
        </is>
      </c>
      <c r="F841" s="4" t="inlineStr">
        <is>
          <t>New</t>
        </is>
      </c>
      <c r="G841" s="4" t="inlineStr">
        <is>
          <t>Instagram</t>
        </is>
      </c>
      <c r="H841" s="4" t="inlineStr">
        <is>
          <t>Vitamin C serum</t>
        </is>
      </c>
      <c r="I841" s="9">
        <f>IF($H841="","",IFERROR(INDEX('Settings'!$J$10:$J$39,MATCH($H841,'Settings'!$I$10:$I$39,0)),""))</f>
        <v/>
      </c>
      <c r="J841" s="6" t="n">
        <v>1</v>
      </c>
      <c r="K841" s="8" t="n">
        <v>220</v>
      </c>
      <c r="L841" s="8" t="n">
        <v>30</v>
      </c>
      <c r="M841" s="14">
        <f>IF($A841="","",$J841*$K841)</f>
        <v/>
      </c>
      <c r="N841" s="14">
        <f>IF($A841="","",$M841-$L841)</f>
        <v/>
      </c>
      <c r="O841" s="4" t="inlineStr">
        <is>
          <t>Transfer</t>
        </is>
      </c>
      <c r="P841" s="15">
        <f>IF($A841="","",DATE(YEAR($A841),MONTH($A841),1))</f>
        <v/>
      </c>
      <c r="Q841" s="16">
        <f>IF($H841="","",$J841*IFERROR(INDEX('Settings'!$L$10:$L$39,MATCH($H841,'Settings'!$I$10:$I$39,0)),0))</f>
        <v/>
      </c>
      <c r="R841" s="17">
        <f>IF($A841="","",$A841-WEEKDAY($A841,2)+1)</f>
        <v/>
      </c>
    </row>
    <row r="842">
      <c r="A842" s="5" t="n">
        <v>46273</v>
      </c>
      <c r="B842" s="4" t="inlineStr">
        <is>
          <t>Main branch</t>
        </is>
      </c>
      <c r="C842" s="4" t="inlineStr">
        <is>
          <t>Main 3</t>
        </is>
      </c>
      <c r="D842" s="4" t="inlineStr">
        <is>
          <t>Dr Sara Al Harbi</t>
        </is>
      </c>
      <c r="E842" s="4" t="inlineStr">
        <is>
          <t>P-2928</t>
        </is>
      </c>
      <c r="F842" s="4" t="inlineStr">
        <is>
          <t>Returning</t>
        </is>
      </c>
      <c r="G842" s="4" t="inlineStr">
        <is>
          <t>Instagram</t>
        </is>
      </c>
      <c r="H842" s="4" t="inlineStr">
        <is>
          <t>Sunscreen cream</t>
        </is>
      </c>
      <c r="I842" s="9">
        <f>IF($H842="","",IFERROR(INDEX('Settings'!$J$10:$J$39,MATCH($H842,'Settings'!$I$10:$I$39,0)),""))</f>
        <v/>
      </c>
      <c r="J842" s="6" t="n">
        <v>1</v>
      </c>
      <c r="K842" s="8" t="n">
        <v>120</v>
      </c>
      <c r="L842" s="8" t="n"/>
      <c r="M842" s="14">
        <f>IF($A842="","",$J842*$K842)</f>
        <v/>
      </c>
      <c r="N842" s="14">
        <f>IF($A842="","",$M842-$L842)</f>
        <v/>
      </c>
      <c r="O842" s="4" t="inlineStr">
        <is>
          <t>Card</t>
        </is>
      </c>
      <c r="P842" s="15">
        <f>IF($A842="","",DATE(YEAR($A842),MONTH($A842),1))</f>
        <v/>
      </c>
      <c r="Q842" s="16">
        <f>IF($H842="","",$J842*IFERROR(INDEX('Settings'!$L$10:$L$39,MATCH($H842,'Settings'!$I$10:$I$39,0)),0))</f>
        <v/>
      </c>
      <c r="R842" s="17">
        <f>IF($A842="","",$A842-WEEKDAY($A842,2)+1)</f>
        <v/>
      </c>
    </row>
    <row r="843">
      <c r="A843" s="5" t="n">
        <v>46273</v>
      </c>
      <c r="B843" s="4" t="inlineStr">
        <is>
          <t>Main branch</t>
        </is>
      </c>
      <c r="C843" s="4" t="inlineStr">
        <is>
          <t>Main 3</t>
        </is>
      </c>
      <c r="D843" s="4" t="inlineStr">
        <is>
          <t>Dr Noura Al Subaie</t>
        </is>
      </c>
      <c r="E843" s="4" t="inlineStr">
        <is>
          <t>P-2964</t>
        </is>
      </c>
      <c r="F843" s="4" t="inlineStr">
        <is>
          <t>Returning</t>
        </is>
      </c>
      <c r="G843" s="4" t="inlineStr">
        <is>
          <t>Referral</t>
        </is>
      </c>
      <c r="H843" s="4" t="inlineStr">
        <is>
          <t>Specialist consultation</t>
        </is>
      </c>
      <c r="I843" s="9">
        <f>IF($H843="","",IFERROR(INDEX('Settings'!$J$10:$J$39,MATCH($H843,'Settings'!$I$10:$I$39,0)),""))</f>
        <v/>
      </c>
      <c r="J843" s="6" t="n">
        <v>1</v>
      </c>
      <c r="K843" s="8" t="n">
        <v>350</v>
      </c>
      <c r="L843" s="8" t="n"/>
      <c r="M843" s="14">
        <f>IF($A843="","",$J843*$K843)</f>
        <v/>
      </c>
      <c r="N843" s="14">
        <f>IF($A843="","",$M843-$L843)</f>
        <v/>
      </c>
      <c r="O843" s="4" t="inlineStr">
        <is>
          <t>Cash</t>
        </is>
      </c>
      <c r="P843" s="15">
        <f>IF($A843="","",DATE(YEAR($A843),MONTH($A843),1))</f>
        <v/>
      </c>
      <c r="Q843" s="16">
        <f>IF($H843="","",$J843*IFERROR(INDEX('Settings'!$L$10:$L$39,MATCH($H843,'Settings'!$I$10:$I$39,0)),0))</f>
        <v/>
      </c>
      <c r="R843" s="17">
        <f>IF($A843="","",$A843-WEEKDAY($A843,2)+1)</f>
        <v/>
      </c>
    </row>
    <row r="844">
      <c r="A844" s="5" t="n">
        <v>46273</v>
      </c>
      <c r="B844" s="4" t="inlineStr">
        <is>
          <t>Main branch</t>
        </is>
      </c>
      <c r="C844" s="4" t="inlineStr">
        <is>
          <t>Main 3</t>
        </is>
      </c>
      <c r="D844" s="4" t="inlineStr">
        <is>
          <t>Dr Ahmed Mansour</t>
        </is>
      </c>
      <c r="E844" s="4" t="inlineStr">
        <is>
          <t>P-3019</t>
        </is>
      </c>
      <c r="F844" s="4" t="inlineStr">
        <is>
          <t>Returning</t>
        </is>
      </c>
      <c r="G844" s="4" t="inlineStr">
        <is>
          <t>Instagram</t>
        </is>
      </c>
      <c r="H844" s="4" t="inlineStr">
        <is>
          <t>Physiotherapy session</t>
        </is>
      </c>
      <c r="I844" s="9">
        <f>IF($H844="","",IFERROR(INDEX('Settings'!$J$10:$J$39,MATCH($H844,'Settings'!$I$10:$I$39,0)),""))</f>
        <v/>
      </c>
      <c r="J844" s="6" t="n">
        <v>1</v>
      </c>
      <c r="K844" s="8" t="n">
        <v>300</v>
      </c>
      <c r="L844" s="8" t="n">
        <v>60</v>
      </c>
      <c r="M844" s="14">
        <f>IF($A844="","",$J844*$K844)</f>
        <v/>
      </c>
      <c r="N844" s="14">
        <f>IF($A844="","",$M844-$L844)</f>
        <v/>
      </c>
      <c r="O844" s="4" t="inlineStr">
        <is>
          <t>Cash</t>
        </is>
      </c>
      <c r="P844" s="15">
        <f>IF($A844="","",DATE(YEAR($A844),MONTH($A844),1))</f>
        <v/>
      </c>
      <c r="Q844" s="16">
        <f>IF($H844="","",$J844*IFERROR(INDEX('Settings'!$L$10:$L$39,MATCH($H844,'Settings'!$I$10:$I$39,0)),0))</f>
        <v/>
      </c>
      <c r="R844" s="17">
        <f>IF($A844="","",$A844-WEEKDAY($A844,2)+1)</f>
        <v/>
      </c>
    </row>
    <row r="845">
      <c r="A845" s="5" t="n">
        <v>46273</v>
      </c>
      <c r="B845" s="4" t="inlineStr">
        <is>
          <t>Main branch</t>
        </is>
      </c>
      <c r="C845" s="4" t="inlineStr">
        <is>
          <t>Main 4</t>
        </is>
      </c>
      <c r="D845" s="4" t="inlineStr">
        <is>
          <t>Dr Ahmed Mansour</t>
        </is>
      </c>
      <c r="E845" s="4" t="inlineStr">
        <is>
          <t>P-2877</t>
        </is>
      </c>
      <c r="F845" s="4" t="inlineStr">
        <is>
          <t>Returning</t>
        </is>
      </c>
      <c r="G845" s="4" t="inlineStr">
        <is>
          <t>Referral</t>
        </is>
      </c>
      <c r="H845" s="4" t="inlineStr">
        <is>
          <t>Specialist consultation</t>
        </is>
      </c>
      <c r="I845" s="9">
        <f>IF($H845="","",IFERROR(INDEX('Settings'!$J$10:$J$39,MATCH($H845,'Settings'!$I$10:$I$39,0)),""))</f>
        <v/>
      </c>
      <c r="J845" s="6" t="n">
        <v>1</v>
      </c>
      <c r="K845" s="8" t="n">
        <v>350</v>
      </c>
      <c r="L845" s="8" t="n"/>
      <c r="M845" s="14">
        <f>IF($A845="","",$J845*$K845)</f>
        <v/>
      </c>
      <c r="N845" s="14">
        <f>IF($A845="","",$M845-$L845)</f>
        <v/>
      </c>
      <c r="O845" s="4" t="inlineStr">
        <is>
          <t>Card</t>
        </is>
      </c>
      <c r="P845" s="15">
        <f>IF($A845="","",DATE(YEAR($A845),MONTH($A845),1))</f>
        <v/>
      </c>
      <c r="Q845" s="16">
        <f>IF($H845="","",$J845*IFERROR(INDEX('Settings'!$L$10:$L$39,MATCH($H845,'Settings'!$I$10:$I$39,0)),0))</f>
        <v/>
      </c>
      <c r="R845" s="17">
        <f>IF($A845="","",$A845-WEEKDAY($A845,2)+1)</f>
        <v/>
      </c>
    </row>
    <row r="846">
      <c r="A846" s="5" t="n">
        <v>46273</v>
      </c>
      <c r="B846" s="4" t="inlineStr">
        <is>
          <t>Main branch</t>
        </is>
      </c>
      <c r="C846" s="4" t="inlineStr">
        <is>
          <t>Main 4</t>
        </is>
      </c>
      <c r="D846" s="4" t="inlineStr">
        <is>
          <t>Dr Ahmed Mansour</t>
        </is>
      </c>
      <c r="E846" s="4" t="inlineStr">
        <is>
          <t>P-2860</t>
        </is>
      </c>
      <c r="F846" s="4" t="inlineStr">
        <is>
          <t>Returning</t>
        </is>
      </c>
      <c r="G846" s="4" t="inlineStr">
        <is>
          <t>Google</t>
        </is>
      </c>
      <c r="H846" s="4" t="inlineStr">
        <is>
          <t>Facial cleansing</t>
        </is>
      </c>
      <c r="I846" s="9">
        <f>IF($H846="","",IFERROR(INDEX('Settings'!$J$10:$J$39,MATCH($H846,'Settings'!$I$10:$I$39,0)),""))</f>
        <v/>
      </c>
      <c r="J846" s="6" t="n">
        <v>1</v>
      </c>
      <c r="K846" s="8" t="n">
        <v>400</v>
      </c>
      <c r="L846" s="8" t="n">
        <v>40</v>
      </c>
      <c r="M846" s="14">
        <f>IF($A846="","",$J846*$K846)</f>
        <v/>
      </c>
      <c r="N846" s="14">
        <f>IF($A846="","",$M846-$L846)</f>
        <v/>
      </c>
      <c r="O846" s="4" t="inlineStr">
        <is>
          <t>Card</t>
        </is>
      </c>
      <c r="P846" s="15">
        <f>IF($A846="","",DATE(YEAR($A846),MONTH($A846),1))</f>
        <v/>
      </c>
      <c r="Q846" s="16">
        <f>IF($H846="","",$J846*IFERROR(INDEX('Settings'!$L$10:$L$39,MATCH($H846,'Settings'!$I$10:$I$39,0)),0))</f>
        <v/>
      </c>
      <c r="R846" s="17">
        <f>IF($A846="","",$A846-WEEKDAY($A846,2)+1)</f>
        <v/>
      </c>
    </row>
    <row r="847">
      <c r="A847" s="5" t="n">
        <v>46273</v>
      </c>
      <c r="B847" s="4" t="inlineStr">
        <is>
          <t>North branch</t>
        </is>
      </c>
      <c r="C847" s="4" t="inlineStr">
        <is>
          <t>North 1</t>
        </is>
      </c>
      <c r="D847" s="4" t="inlineStr">
        <is>
          <t>Dr Khaled Youssef</t>
        </is>
      </c>
      <c r="E847" s="4" t="inlineStr">
        <is>
          <t>P-2934</t>
        </is>
      </c>
      <c r="F847" s="4" t="inlineStr">
        <is>
          <t>New</t>
        </is>
      </c>
      <c r="G847" s="4" t="inlineStr">
        <is>
          <t>Instagram</t>
        </is>
      </c>
      <c r="H847" s="4" t="inlineStr">
        <is>
          <t>Facial cleansing</t>
        </is>
      </c>
      <c r="I847" s="9">
        <f>IF($H847="","",IFERROR(INDEX('Settings'!$J$10:$J$39,MATCH($H847,'Settings'!$I$10:$I$39,0)),""))</f>
        <v/>
      </c>
      <c r="J847" s="6" t="n">
        <v>1</v>
      </c>
      <c r="K847" s="8" t="n">
        <v>400</v>
      </c>
      <c r="L847" s="8" t="n"/>
      <c r="M847" s="14">
        <f>IF($A847="","",$J847*$K847)</f>
        <v/>
      </c>
      <c r="N847" s="14">
        <f>IF($A847="","",$M847-$L847)</f>
        <v/>
      </c>
      <c r="O847" s="4" t="inlineStr">
        <is>
          <t>Insurance</t>
        </is>
      </c>
      <c r="P847" s="15">
        <f>IF($A847="","",DATE(YEAR($A847),MONTH($A847),1))</f>
        <v/>
      </c>
      <c r="Q847" s="16">
        <f>IF($H847="","",$J847*IFERROR(INDEX('Settings'!$L$10:$L$39,MATCH($H847,'Settings'!$I$10:$I$39,0)),0))</f>
        <v/>
      </c>
      <c r="R847" s="17">
        <f>IF($A847="","",$A847-WEEKDAY($A847,2)+1)</f>
        <v/>
      </c>
    </row>
    <row r="848">
      <c r="A848" s="5" t="n">
        <v>46273</v>
      </c>
      <c r="B848" s="4" t="inlineStr">
        <is>
          <t>North branch</t>
        </is>
      </c>
      <c r="C848" s="4" t="inlineStr">
        <is>
          <t>North 1</t>
        </is>
      </c>
      <c r="D848" s="4" t="inlineStr">
        <is>
          <t>Dr Khaled Youssef</t>
        </is>
      </c>
      <c r="E848" s="4" t="inlineStr">
        <is>
          <t>P-2442</t>
        </is>
      </c>
      <c r="F848" s="4" t="inlineStr">
        <is>
          <t>Returning</t>
        </is>
      </c>
      <c r="G848" s="4" t="inlineStr">
        <is>
          <t>Instagram</t>
        </is>
      </c>
      <c r="H848" s="4" t="inlineStr">
        <is>
          <t>Laser session, face</t>
        </is>
      </c>
      <c r="I848" s="9">
        <f>IF($H848="","",IFERROR(INDEX('Settings'!$J$10:$J$39,MATCH($H848,'Settings'!$I$10:$I$39,0)),""))</f>
        <v/>
      </c>
      <c r="J848" s="6" t="n">
        <v>1</v>
      </c>
      <c r="K848" s="8" t="n">
        <v>600</v>
      </c>
      <c r="L848" s="8" t="n"/>
      <c r="M848" s="14">
        <f>IF($A848="","",$J848*$K848)</f>
        <v/>
      </c>
      <c r="N848" s="14">
        <f>IF($A848="","",$M848-$L848)</f>
        <v/>
      </c>
      <c r="O848" s="4" t="inlineStr">
        <is>
          <t>Card</t>
        </is>
      </c>
      <c r="P848" s="15">
        <f>IF($A848="","",DATE(YEAR($A848),MONTH($A848),1))</f>
        <v/>
      </c>
      <c r="Q848" s="16">
        <f>IF($H848="","",$J848*IFERROR(INDEX('Settings'!$L$10:$L$39,MATCH($H848,'Settings'!$I$10:$I$39,0)),0))</f>
        <v/>
      </c>
      <c r="R848" s="17">
        <f>IF($A848="","",$A848-WEEKDAY($A848,2)+1)</f>
        <v/>
      </c>
    </row>
    <row r="849">
      <c r="A849" s="5" t="n">
        <v>46273</v>
      </c>
      <c r="B849" s="4" t="inlineStr">
        <is>
          <t>North branch</t>
        </is>
      </c>
      <c r="C849" s="4" t="inlineStr">
        <is>
          <t>North 1</t>
        </is>
      </c>
      <c r="D849" s="4" t="inlineStr">
        <is>
          <t>Dr Mohamed Adel</t>
        </is>
      </c>
      <c r="E849" s="4" t="inlineStr">
        <is>
          <t>P-2706</t>
        </is>
      </c>
      <c r="F849" s="4" t="inlineStr">
        <is>
          <t>Returning</t>
        </is>
      </c>
      <c r="G849" s="4" t="inlineStr">
        <is>
          <t>Referral</t>
        </is>
      </c>
      <c r="H849" s="4" t="inlineStr">
        <is>
          <t>Botulinum toxin</t>
        </is>
      </c>
      <c r="I849" s="9">
        <f>IF($H849="","",IFERROR(INDEX('Settings'!$J$10:$J$39,MATCH($H849,'Settings'!$I$10:$I$39,0)),""))</f>
        <v/>
      </c>
      <c r="J849" s="6" t="n">
        <v>1</v>
      </c>
      <c r="K849" s="8" t="n">
        <v>1500</v>
      </c>
      <c r="L849" s="8" t="n">
        <v>150</v>
      </c>
      <c r="M849" s="14">
        <f>IF($A849="","",$J849*$K849)</f>
        <v/>
      </c>
      <c r="N849" s="14">
        <f>IF($A849="","",$M849-$L849)</f>
        <v/>
      </c>
      <c r="O849" s="4" t="inlineStr">
        <is>
          <t>Cash</t>
        </is>
      </c>
      <c r="P849" s="15">
        <f>IF($A849="","",DATE(YEAR($A849),MONTH($A849),1))</f>
        <v/>
      </c>
      <c r="Q849" s="16">
        <f>IF($H849="","",$J849*IFERROR(INDEX('Settings'!$L$10:$L$39,MATCH($H849,'Settings'!$I$10:$I$39,0)),0))</f>
        <v/>
      </c>
      <c r="R849" s="17">
        <f>IF($A849="","",$A849-WEEKDAY($A849,2)+1)</f>
        <v/>
      </c>
    </row>
    <row r="850">
      <c r="A850" s="5" t="n">
        <v>46273</v>
      </c>
      <c r="B850" s="4" t="inlineStr">
        <is>
          <t>North branch</t>
        </is>
      </c>
      <c r="C850" s="4" t="inlineStr">
        <is>
          <t>North 2</t>
        </is>
      </c>
      <c r="D850" s="4" t="inlineStr">
        <is>
          <t>Dr Khaled Youssef</t>
        </is>
      </c>
      <c r="E850" s="4" t="inlineStr">
        <is>
          <t>P-2933</t>
        </is>
      </c>
      <c r="F850" s="4" t="inlineStr">
        <is>
          <t>Returning</t>
        </is>
      </c>
      <c r="G850" s="4" t="inlineStr">
        <is>
          <t>Walk-in</t>
        </is>
      </c>
      <c r="H850" s="4" t="inlineStr">
        <is>
          <t>Chemical peel</t>
        </is>
      </c>
      <c r="I850" s="9">
        <f>IF($H850="","",IFERROR(INDEX('Settings'!$J$10:$J$39,MATCH($H850,'Settings'!$I$10:$I$39,0)),""))</f>
        <v/>
      </c>
      <c r="J850" s="6" t="n">
        <v>1</v>
      </c>
      <c r="K850" s="8" t="n">
        <v>800</v>
      </c>
      <c r="L850" s="8" t="n"/>
      <c r="M850" s="14">
        <f>IF($A850="","",$J850*$K850)</f>
        <v/>
      </c>
      <c r="N850" s="14">
        <f>IF($A850="","",$M850-$L850)</f>
        <v/>
      </c>
      <c r="O850" s="4" t="inlineStr">
        <is>
          <t>Insurance</t>
        </is>
      </c>
      <c r="P850" s="15">
        <f>IF($A850="","",DATE(YEAR($A850),MONTH($A850),1))</f>
        <v/>
      </c>
      <c r="Q850" s="16">
        <f>IF($H850="","",$J850*IFERROR(INDEX('Settings'!$L$10:$L$39,MATCH($H850,'Settings'!$I$10:$I$39,0)),0))</f>
        <v/>
      </c>
      <c r="R850" s="17">
        <f>IF($A850="","",$A850-WEEKDAY($A850,2)+1)</f>
        <v/>
      </c>
    </row>
    <row r="851">
      <c r="A851" s="5" t="n">
        <v>46273</v>
      </c>
      <c r="B851" s="4" t="inlineStr">
        <is>
          <t>North branch</t>
        </is>
      </c>
      <c r="C851" s="4" t="inlineStr">
        <is>
          <t>North 2</t>
        </is>
      </c>
      <c r="D851" s="4" t="inlineStr">
        <is>
          <t>Dr Khaled Youssef</t>
        </is>
      </c>
      <c r="E851" s="4" t="inlineStr">
        <is>
          <t>P-3341</t>
        </is>
      </c>
      <c r="F851" s="4" t="inlineStr">
        <is>
          <t>New</t>
        </is>
      </c>
      <c r="G851" s="4" t="inlineStr">
        <is>
          <t>Referral</t>
        </is>
      </c>
      <c r="H851" s="4" t="inlineStr">
        <is>
          <t>Laser session, body</t>
        </is>
      </c>
      <c r="I851" s="9">
        <f>IF($H851="","",IFERROR(INDEX('Settings'!$J$10:$J$39,MATCH($H851,'Settings'!$I$10:$I$39,0)),""))</f>
        <v/>
      </c>
      <c r="J851" s="6" t="n">
        <v>1</v>
      </c>
      <c r="K851" s="8" t="n">
        <v>1200</v>
      </c>
      <c r="L851" s="8" t="n">
        <v>240</v>
      </c>
      <c r="M851" s="14">
        <f>IF($A851="","",$J851*$K851)</f>
        <v/>
      </c>
      <c r="N851" s="14">
        <f>IF($A851="","",$M851-$L851)</f>
        <v/>
      </c>
      <c r="O851" s="4" t="inlineStr">
        <is>
          <t>Transfer</t>
        </is>
      </c>
      <c r="P851" s="15">
        <f>IF($A851="","",DATE(YEAR($A851),MONTH($A851),1))</f>
        <v/>
      </c>
      <c r="Q851" s="16">
        <f>IF($H851="","",$J851*IFERROR(INDEX('Settings'!$L$10:$L$39,MATCH($H851,'Settings'!$I$10:$I$39,0)),0))</f>
        <v/>
      </c>
      <c r="R851" s="17">
        <f>IF($A851="","",$A851-WEEKDAY($A851,2)+1)</f>
        <v/>
      </c>
    </row>
    <row r="852">
      <c r="A852" s="5" t="n">
        <v>46273</v>
      </c>
      <c r="B852" s="4" t="inlineStr">
        <is>
          <t>North branch</t>
        </is>
      </c>
      <c r="C852" s="4" t="inlineStr">
        <is>
          <t>North 2</t>
        </is>
      </c>
      <c r="D852" s="4" t="inlineStr">
        <is>
          <t>Dr Khaled Youssef</t>
        </is>
      </c>
      <c r="E852" s="4" t="inlineStr">
        <is>
          <t>P-3253</t>
        </is>
      </c>
      <c r="F852" s="4" t="inlineStr">
        <is>
          <t>Returning</t>
        </is>
      </c>
      <c r="G852" s="4" t="inlineStr">
        <is>
          <t>Instagram</t>
        </is>
      </c>
      <c r="H852" s="4" t="inlineStr">
        <is>
          <t>Sunscreen cream</t>
        </is>
      </c>
      <c r="I852" s="9">
        <f>IF($H852="","",IFERROR(INDEX('Settings'!$J$10:$J$39,MATCH($H852,'Settings'!$I$10:$I$39,0)),""))</f>
        <v/>
      </c>
      <c r="J852" s="6" t="n">
        <v>1</v>
      </c>
      <c r="K852" s="8" t="n">
        <v>120</v>
      </c>
      <c r="L852" s="8" t="n"/>
      <c r="M852" s="14">
        <f>IF($A852="","",$J852*$K852)</f>
        <v/>
      </c>
      <c r="N852" s="14">
        <f>IF($A852="","",$M852-$L852)</f>
        <v/>
      </c>
      <c r="O852" s="4" t="inlineStr">
        <is>
          <t>Cash</t>
        </is>
      </c>
      <c r="P852" s="15">
        <f>IF($A852="","",DATE(YEAR($A852),MONTH($A852),1))</f>
        <v/>
      </c>
      <c r="Q852" s="16">
        <f>IF($H852="","",$J852*IFERROR(INDEX('Settings'!$L$10:$L$39,MATCH($H852,'Settings'!$I$10:$I$39,0)),0))</f>
        <v/>
      </c>
      <c r="R852" s="17">
        <f>IF($A852="","",$A852-WEEKDAY($A852,2)+1)</f>
        <v/>
      </c>
    </row>
    <row r="853">
      <c r="A853" s="5" t="n">
        <v>46274</v>
      </c>
      <c r="B853" s="4" t="inlineStr">
        <is>
          <t>Main branch</t>
        </is>
      </c>
      <c r="C853" s="4" t="inlineStr">
        <is>
          <t>Main 1</t>
        </is>
      </c>
      <c r="D853" s="4" t="inlineStr">
        <is>
          <t>Dr Sara Al Harbi</t>
        </is>
      </c>
      <c r="E853" s="4" t="inlineStr">
        <is>
          <t>P-2123</t>
        </is>
      </c>
      <c r="F853" s="4" t="inlineStr">
        <is>
          <t>New</t>
        </is>
      </c>
      <c r="G853" s="4" t="inlineStr">
        <is>
          <t>Instagram</t>
        </is>
      </c>
      <c r="H853" s="4" t="inlineStr">
        <is>
          <t>Sunscreen cream</t>
        </is>
      </c>
      <c r="I853" s="9">
        <f>IF($H853="","",IFERROR(INDEX('Settings'!$J$10:$J$39,MATCH($H853,'Settings'!$I$10:$I$39,0)),""))</f>
        <v/>
      </c>
      <c r="J853" s="6" t="n">
        <v>1</v>
      </c>
      <c r="K853" s="8" t="n">
        <v>120</v>
      </c>
      <c r="L853" s="8" t="n"/>
      <c r="M853" s="14">
        <f>IF($A853="","",$J853*$K853)</f>
        <v/>
      </c>
      <c r="N853" s="14">
        <f>IF($A853="","",$M853-$L853)</f>
        <v/>
      </c>
      <c r="O853" s="4" t="inlineStr">
        <is>
          <t>Card</t>
        </is>
      </c>
      <c r="P853" s="15">
        <f>IF($A853="","",DATE(YEAR($A853),MONTH($A853),1))</f>
        <v/>
      </c>
      <c r="Q853" s="16">
        <f>IF($H853="","",$J853*IFERROR(INDEX('Settings'!$L$10:$L$39,MATCH($H853,'Settings'!$I$10:$I$39,0)),0))</f>
        <v/>
      </c>
      <c r="R853" s="17">
        <f>IF($A853="","",$A853-WEEKDAY($A853,2)+1)</f>
        <v/>
      </c>
    </row>
    <row r="854">
      <c r="A854" s="5" t="n">
        <v>46274</v>
      </c>
      <c r="B854" s="4" t="inlineStr">
        <is>
          <t>Main branch</t>
        </is>
      </c>
      <c r="C854" s="4" t="inlineStr">
        <is>
          <t>Main 1</t>
        </is>
      </c>
      <c r="D854" s="4" t="inlineStr">
        <is>
          <t>Dr Noura Al Subaie</t>
        </is>
      </c>
      <c r="E854" s="4" t="inlineStr">
        <is>
          <t>P-2555</t>
        </is>
      </c>
      <c r="F854" s="4" t="inlineStr">
        <is>
          <t>Returning</t>
        </is>
      </c>
      <c r="G854" s="4" t="inlineStr">
        <is>
          <t>Google</t>
        </is>
      </c>
      <c r="H854" s="4" t="inlineStr">
        <is>
          <t>Sunscreen cream</t>
        </is>
      </c>
      <c r="I854" s="9">
        <f>IF($H854="","",IFERROR(INDEX('Settings'!$J$10:$J$39,MATCH($H854,'Settings'!$I$10:$I$39,0)),""))</f>
        <v/>
      </c>
      <c r="J854" s="6" t="n">
        <v>1</v>
      </c>
      <c r="K854" s="8" t="n">
        <v>120</v>
      </c>
      <c r="L854" s="8" t="n"/>
      <c r="M854" s="14">
        <f>IF($A854="","",$J854*$K854)</f>
        <v/>
      </c>
      <c r="N854" s="14">
        <f>IF($A854="","",$M854-$L854)</f>
        <v/>
      </c>
      <c r="O854" s="4" t="inlineStr">
        <is>
          <t>Card</t>
        </is>
      </c>
      <c r="P854" s="15">
        <f>IF($A854="","",DATE(YEAR($A854),MONTH($A854),1))</f>
        <v/>
      </c>
      <c r="Q854" s="16">
        <f>IF($H854="","",$J854*IFERROR(INDEX('Settings'!$L$10:$L$39,MATCH($H854,'Settings'!$I$10:$I$39,0)),0))</f>
        <v/>
      </c>
      <c r="R854" s="17">
        <f>IF($A854="","",$A854-WEEKDAY($A854,2)+1)</f>
        <v/>
      </c>
    </row>
    <row r="855">
      <c r="A855" s="5" t="n">
        <v>46274</v>
      </c>
      <c r="B855" s="4" t="inlineStr">
        <is>
          <t>Main branch</t>
        </is>
      </c>
      <c r="C855" s="4" t="inlineStr">
        <is>
          <t>Main 2</t>
        </is>
      </c>
      <c r="D855" s="4" t="inlineStr">
        <is>
          <t>Dr Sara Al Harbi</t>
        </is>
      </c>
      <c r="E855" s="4" t="inlineStr">
        <is>
          <t>P-3255</t>
        </is>
      </c>
      <c r="F855" s="4" t="inlineStr">
        <is>
          <t>New</t>
        </is>
      </c>
      <c r="G855" s="4" t="inlineStr">
        <is>
          <t>Instagram</t>
        </is>
      </c>
      <c r="H855" s="4" t="inlineStr">
        <is>
          <t>Chemical peel</t>
        </is>
      </c>
      <c r="I855" s="9">
        <f>IF($H855="","",IFERROR(INDEX('Settings'!$J$10:$J$39,MATCH($H855,'Settings'!$I$10:$I$39,0)),""))</f>
        <v/>
      </c>
      <c r="J855" s="6" t="n">
        <v>1</v>
      </c>
      <c r="K855" s="8" t="n">
        <v>800</v>
      </c>
      <c r="L855" s="8" t="n">
        <v>160</v>
      </c>
      <c r="M855" s="14">
        <f>IF($A855="","",$J855*$K855)</f>
        <v/>
      </c>
      <c r="N855" s="14">
        <f>IF($A855="","",$M855-$L855)</f>
        <v/>
      </c>
      <c r="O855" s="4" t="inlineStr">
        <is>
          <t>Cash</t>
        </is>
      </c>
      <c r="P855" s="15">
        <f>IF($A855="","",DATE(YEAR($A855),MONTH($A855),1))</f>
        <v/>
      </c>
      <c r="Q855" s="16">
        <f>IF($H855="","",$J855*IFERROR(INDEX('Settings'!$L$10:$L$39,MATCH($H855,'Settings'!$I$10:$I$39,0)),0))</f>
        <v/>
      </c>
      <c r="R855" s="17">
        <f>IF($A855="","",$A855-WEEKDAY($A855,2)+1)</f>
        <v/>
      </c>
    </row>
    <row r="856">
      <c r="A856" s="5" t="n">
        <v>46274</v>
      </c>
      <c r="B856" s="4" t="inlineStr">
        <is>
          <t>Main branch</t>
        </is>
      </c>
      <c r="C856" s="4" t="inlineStr">
        <is>
          <t>Main 3</t>
        </is>
      </c>
      <c r="D856" s="4" t="inlineStr">
        <is>
          <t>Dr Sara Al Harbi</t>
        </is>
      </c>
      <c r="E856" s="4" t="inlineStr">
        <is>
          <t>P-2458</t>
        </is>
      </c>
      <c r="F856" s="4" t="inlineStr">
        <is>
          <t>New</t>
        </is>
      </c>
      <c r="G856" s="4" t="inlineStr">
        <is>
          <t>WhatsApp</t>
        </is>
      </c>
      <c r="H856" s="4" t="inlineStr">
        <is>
          <t>Specialist consultation</t>
        </is>
      </c>
      <c r="I856" s="9">
        <f>IF($H856="","",IFERROR(INDEX('Settings'!$J$10:$J$39,MATCH($H856,'Settings'!$I$10:$I$39,0)),""))</f>
        <v/>
      </c>
      <c r="J856" s="6" t="n">
        <v>1</v>
      </c>
      <c r="K856" s="8" t="n">
        <v>350</v>
      </c>
      <c r="L856" s="8" t="n"/>
      <c r="M856" s="14">
        <f>IF($A856="","",$J856*$K856)</f>
        <v/>
      </c>
      <c r="N856" s="14">
        <f>IF($A856="","",$M856-$L856)</f>
        <v/>
      </c>
      <c r="O856" s="4" t="inlineStr">
        <is>
          <t>Payment link</t>
        </is>
      </c>
      <c r="P856" s="15">
        <f>IF($A856="","",DATE(YEAR($A856),MONTH($A856),1))</f>
        <v/>
      </c>
      <c r="Q856" s="16">
        <f>IF($H856="","",$J856*IFERROR(INDEX('Settings'!$L$10:$L$39,MATCH($H856,'Settings'!$I$10:$I$39,0)),0))</f>
        <v/>
      </c>
      <c r="R856" s="17">
        <f>IF($A856="","",$A856-WEEKDAY($A856,2)+1)</f>
        <v/>
      </c>
    </row>
    <row r="857">
      <c r="A857" s="5" t="n">
        <v>46274</v>
      </c>
      <c r="B857" s="4" t="inlineStr">
        <is>
          <t>Main branch</t>
        </is>
      </c>
      <c r="C857" s="4" t="inlineStr">
        <is>
          <t>Main 3</t>
        </is>
      </c>
      <c r="D857" s="4" t="inlineStr">
        <is>
          <t>Dr Ahmed Mansour</t>
        </is>
      </c>
      <c r="E857" s="4" t="inlineStr">
        <is>
          <t>P-3247</t>
        </is>
      </c>
      <c r="F857" s="4" t="inlineStr">
        <is>
          <t>Returning</t>
        </is>
      </c>
      <c r="G857" s="4" t="inlineStr">
        <is>
          <t>Referral</t>
        </is>
      </c>
      <c r="H857" s="4" t="inlineStr">
        <is>
          <t>Physiotherapy session</t>
        </is>
      </c>
      <c r="I857" s="9">
        <f>IF($H857="","",IFERROR(INDEX('Settings'!$J$10:$J$39,MATCH($H857,'Settings'!$I$10:$I$39,0)),""))</f>
        <v/>
      </c>
      <c r="J857" s="6" t="n">
        <v>1</v>
      </c>
      <c r="K857" s="8" t="n">
        <v>300</v>
      </c>
      <c r="L857" s="8" t="n">
        <v>60</v>
      </c>
      <c r="M857" s="14">
        <f>IF($A857="","",$J857*$K857)</f>
        <v/>
      </c>
      <c r="N857" s="14">
        <f>IF($A857="","",$M857-$L857)</f>
        <v/>
      </c>
      <c r="O857" s="4" t="inlineStr">
        <is>
          <t>Card</t>
        </is>
      </c>
      <c r="P857" s="15">
        <f>IF($A857="","",DATE(YEAR($A857),MONTH($A857),1))</f>
        <v/>
      </c>
      <c r="Q857" s="16">
        <f>IF($H857="","",$J857*IFERROR(INDEX('Settings'!$L$10:$L$39,MATCH($H857,'Settings'!$I$10:$I$39,0)),0))</f>
        <v/>
      </c>
      <c r="R857" s="17">
        <f>IF($A857="","",$A857-WEEKDAY($A857,2)+1)</f>
        <v/>
      </c>
    </row>
    <row r="858">
      <c r="A858" s="5" t="n">
        <v>46274</v>
      </c>
      <c r="B858" s="4" t="inlineStr">
        <is>
          <t>Main branch</t>
        </is>
      </c>
      <c r="C858" s="4" t="inlineStr">
        <is>
          <t>Main 3</t>
        </is>
      </c>
      <c r="D858" s="4" t="inlineStr">
        <is>
          <t>Dr Sara Al Harbi</t>
        </is>
      </c>
      <c r="E858" s="4" t="inlineStr">
        <is>
          <t>P-2595</t>
        </is>
      </c>
      <c r="F858" s="4" t="inlineStr">
        <is>
          <t>Returning</t>
        </is>
      </c>
      <c r="G858" s="4" t="inlineStr">
        <is>
          <t>Google</t>
        </is>
      </c>
      <c r="H858" s="4" t="inlineStr">
        <is>
          <t>Follow-up visit</t>
        </is>
      </c>
      <c r="I858" s="9">
        <f>IF($H858="","",IFERROR(INDEX('Settings'!$J$10:$J$39,MATCH($H858,'Settings'!$I$10:$I$39,0)),""))</f>
        <v/>
      </c>
      <c r="J858" s="6" t="n">
        <v>1</v>
      </c>
      <c r="K858" s="8" t="n">
        <v>150</v>
      </c>
      <c r="L858" s="8" t="n"/>
      <c r="M858" s="14">
        <f>IF($A858="","",$J858*$K858)</f>
        <v/>
      </c>
      <c r="N858" s="14">
        <f>IF($A858="","",$M858-$L858)</f>
        <v/>
      </c>
      <c r="O858" s="4" t="inlineStr">
        <is>
          <t>Insurance</t>
        </is>
      </c>
      <c r="P858" s="15">
        <f>IF($A858="","",DATE(YEAR($A858),MONTH($A858),1))</f>
        <v/>
      </c>
      <c r="Q858" s="16">
        <f>IF($H858="","",$J858*IFERROR(INDEX('Settings'!$L$10:$L$39,MATCH($H858,'Settings'!$I$10:$I$39,0)),0))</f>
        <v/>
      </c>
      <c r="R858" s="17">
        <f>IF($A858="","",$A858-WEEKDAY($A858,2)+1)</f>
        <v/>
      </c>
    </row>
    <row r="859">
      <c r="A859" s="5" t="n">
        <v>46274</v>
      </c>
      <c r="B859" s="4" t="inlineStr">
        <is>
          <t>North branch</t>
        </is>
      </c>
      <c r="C859" s="4" t="inlineStr">
        <is>
          <t>North 1</t>
        </is>
      </c>
      <c r="D859" s="4" t="inlineStr">
        <is>
          <t>Dr Khaled Youssef</t>
        </is>
      </c>
      <c r="E859" s="4" t="inlineStr">
        <is>
          <t>P-2408</t>
        </is>
      </c>
      <c r="F859" s="4" t="inlineStr">
        <is>
          <t>New</t>
        </is>
      </c>
      <c r="G859" s="4" t="inlineStr">
        <is>
          <t>WhatsApp</t>
        </is>
      </c>
      <c r="H859" s="4" t="inlineStr">
        <is>
          <t>Follow-up visit</t>
        </is>
      </c>
      <c r="I859" s="9">
        <f>IF($H859="","",IFERROR(INDEX('Settings'!$J$10:$J$39,MATCH($H859,'Settings'!$I$10:$I$39,0)),""))</f>
        <v/>
      </c>
      <c r="J859" s="6" t="n">
        <v>1</v>
      </c>
      <c r="K859" s="8" t="n">
        <v>150</v>
      </c>
      <c r="L859" s="8" t="n"/>
      <c r="M859" s="14">
        <f>IF($A859="","",$J859*$K859)</f>
        <v/>
      </c>
      <c r="N859" s="14">
        <f>IF($A859="","",$M859-$L859)</f>
        <v/>
      </c>
      <c r="O859" s="4" t="inlineStr">
        <is>
          <t>Cash</t>
        </is>
      </c>
      <c r="P859" s="15">
        <f>IF($A859="","",DATE(YEAR($A859),MONTH($A859),1))</f>
        <v/>
      </c>
      <c r="Q859" s="16">
        <f>IF($H859="","",$J859*IFERROR(INDEX('Settings'!$L$10:$L$39,MATCH($H859,'Settings'!$I$10:$I$39,0)),0))</f>
        <v/>
      </c>
      <c r="R859" s="17">
        <f>IF($A859="","",$A859-WEEKDAY($A859,2)+1)</f>
        <v/>
      </c>
    </row>
    <row r="860">
      <c r="A860" s="5" t="n">
        <v>46274</v>
      </c>
      <c r="B860" s="4" t="inlineStr">
        <is>
          <t>North branch</t>
        </is>
      </c>
      <c r="C860" s="4" t="inlineStr">
        <is>
          <t>North 1</t>
        </is>
      </c>
      <c r="D860" s="4" t="inlineStr">
        <is>
          <t>Dr Mohamed Adel</t>
        </is>
      </c>
      <c r="E860" s="4" t="inlineStr">
        <is>
          <t>P-2762</t>
        </is>
      </c>
      <c r="F860" s="4" t="inlineStr">
        <is>
          <t>Returning</t>
        </is>
      </c>
      <c r="G860" s="4" t="inlineStr">
        <is>
          <t>Google</t>
        </is>
      </c>
      <c r="H860" s="4" t="inlineStr">
        <is>
          <t>Filler injection</t>
        </is>
      </c>
      <c r="I860" s="9">
        <f>IF($H860="","",IFERROR(INDEX('Settings'!$J$10:$J$39,MATCH($H860,'Settings'!$I$10:$I$39,0)),""))</f>
        <v/>
      </c>
      <c r="J860" s="6" t="n">
        <v>1</v>
      </c>
      <c r="K860" s="8" t="n">
        <v>1800</v>
      </c>
      <c r="L860" s="8" t="n"/>
      <c r="M860" s="14">
        <f>IF($A860="","",$J860*$K860)</f>
        <v/>
      </c>
      <c r="N860" s="14">
        <f>IF($A860="","",$M860-$L860)</f>
        <v/>
      </c>
      <c r="O860" s="4" t="inlineStr">
        <is>
          <t>Cash</t>
        </is>
      </c>
      <c r="P860" s="15">
        <f>IF($A860="","",DATE(YEAR($A860),MONTH($A860),1))</f>
        <v/>
      </c>
      <c r="Q860" s="16">
        <f>IF($H860="","",$J860*IFERROR(INDEX('Settings'!$L$10:$L$39,MATCH($H860,'Settings'!$I$10:$I$39,0)),0))</f>
        <v/>
      </c>
      <c r="R860" s="17">
        <f>IF($A860="","",$A860-WEEKDAY($A860,2)+1)</f>
        <v/>
      </c>
    </row>
    <row r="861">
      <c r="A861" s="5" t="n">
        <v>46274</v>
      </c>
      <c r="B861" s="4" t="inlineStr">
        <is>
          <t>North branch</t>
        </is>
      </c>
      <c r="C861" s="4" t="inlineStr">
        <is>
          <t>North 2</t>
        </is>
      </c>
      <c r="D861" s="4" t="inlineStr">
        <is>
          <t>Dr Khaled Youssef</t>
        </is>
      </c>
      <c r="E861" s="4" t="inlineStr">
        <is>
          <t>P-3350</t>
        </is>
      </c>
      <c r="F861" s="4" t="inlineStr">
        <is>
          <t>Returning</t>
        </is>
      </c>
      <c r="G861" s="4" t="inlineStr">
        <is>
          <t>Instagram</t>
        </is>
      </c>
      <c r="H861" s="4" t="inlineStr">
        <is>
          <t>Specialist consultation</t>
        </is>
      </c>
      <c r="I861" s="9">
        <f>IF($H861="","",IFERROR(INDEX('Settings'!$J$10:$J$39,MATCH($H861,'Settings'!$I$10:$I$39,0)),""))</f>
        <v/>
      </c>
      <c r="J861" s="6" t="n">
        <v>1</v>
      </c>
      <c r="K861" s="8" t="n">
        <v>350</v>
      </c>
      <c r="L861" s="8" t="n"/>
      <c r="M861" s="14">
        <f>IF($A861="","",$J861*$K861)</f>
        <v/>
      </c>
      <c r="N861" s="14">
        <f>IF($A861="","",$M861-$L861)</f>
        <v/>
      </c>
      <c r="O861" s="4" t="inlineStr">
        <is>
          <t>Card</t>
        </is>
      </c>
      <c r="P861" s="15">
        <f>IF($A861="","",DATE(YEAR($A861),MONTH($A861),1))</f>
        <v/>
      </c>
      <c r="Q861" s="16">
        <f>IF($H861="","",$J861*IFERROR(INDEX('Settings'!$L$10:$L$39,MATCH($H861,'Settings'!$I$10:$I$39,0)),0))</f>
        <v/>
      </c>
      <c r="R861" s="17">
        <f>IF($A861="","",$A861-WEEKDAY($A861,2)+1)</f>
        <v/>
      </c>
    </row>
    <row r="862">
      <c r="A862" s="5" t="n">
        <v>46275</v>
      </c>
      <c r="B862" s="4" t="inlineStr">
        <is>
          <t>Main branch</t>
        </is>
      </c>
      <c r="C862" s="4" t="inlineStr">
        <is>
          <t>Main 2</t>
        </is>
      </c>
      <c r="D862" s="4" t="inlineStr">
        <is>
          <t>Dr Sara Al Harbi</t>
        </is>
      </c>
      <c r="E862" s="4" t="inlineStr">
        <is>
          <t>P-2907</t>
        </is>
      </c>
      <c r="F862" s="4" t="inlineStr">
        <is>
          <t>Returning</t>
        </is>
      </c>
      <c r="G862" s="4" t="inlineStr">
        <is>
          <t>Referral</t>
        </is>
      </c>
      <c r="H862" s="4" t="inlineStr">
        <is>
          <t>Facial cleansing</t>
        </is>
      </c>
      <c r="I862" s="9">
        <f>IF($H862="","",IFERROR(INDEX('Settings'!$J$10:$J$39,MATCH($H862,'Settings'!$I$10:$I$39,0)),""))</f>
        <v/>
      </c>
      <c r="J862" s="6" t="n">
        <v>1</v>
      </c>
      <c r="K862" s="8" t="n">
        <v>400</v>
      </c>
      <c r="L862" s="8" t="n">
        <v>80</v>
      </c>
      <c r="M862" s="14">
        <f>IF($A862="","",$J862*$K862)</f>
        <v/>
      </c>
      <c r="N862" s="14">
        <f>IF($A862="","",$M862-$L862)</f>
        <v/>
      </c>
      <c r="O862" s="4" t="inlineStr">
        <is>
          <t>Card</t>
        </is>
      </c>
      <c r="P862" s="15">
        <f>IF($A862="","",DATE(YEAR($A862),MONTH($A862),1))</f>
        <v/>
      </c>
      <c r="Q862" s="16">
        <f>IF($H862="","",$J862*IFERROR(INDEX('Settings'!$L$10:$L$39,MATCH($H862,'Settings'!$I$10:$I$39,0)),0))</f>
        <v/>
      </c>
      <c r="R862" s="17">
        <f>IF($A862="","",$A862-WEEKDAY($A862,2)+1)</f>
        <v/>
      </c>
    </row>
    <row r="863">
      <c r="A863" s="5" t="n">
        <v>46275</v>
      </c>
      <c r="B863" s="4" t="inlineStr">
        <is>
          <t>Main branch</t>
        </is>
      </c>
      <c r="C863" s="4" t="inlineStr">
        <is>
          <t>Main 3</t>
        </is>
      </c>
      <c r="D863" s="4" t="inlineStr">
        <is>
          <t>Dr Sara Al Harbi</t>
        </is>
      </c>
      <c r="E863" s="4" t="inlineStr">
        <is>
          <t>P-2626</t>
        </is>
      </c>
      <c r="F863" s="4" t="inlineStr">
        <is>
          <t>Returning</t>
        </is>
      </c>
      <c r="G863" s="4" t="inlineStr">
        <is>
          <t>Walk-in</t>
        </is>
      </c>
      <c r="H863" s="4" t="inlineStr">
        <is>
          <t>Laser session, face</t>
        </is>
      </c>
      <c r="I863" s="9">
        <f>IF($H863="","",IFERROR(INDEX('Settings'!$J$10:$J$39,MATCH($H863,'Settings'!$I$10:$I$39,0)),""))</f>
        <v/>
      </c>
      <c r="J863" s="6" t="n">
        <v>1</v>
      </c>
      <c r="K863" s="8" t="n">
        <v>600</v>
      </c>
      <c r="L863" s="8" t="n"/>
      <c r="M863" s="14">
        <f>IF($A863="","",$J863*$K863)</f>
        <v/>
      </c>
      <c r="N863" s="14">
        <f>IF($A863="","",$M863-$L863)</f>
        <v/>
      </c>
      <c r="O863" s="4" t="inlineStr">
        <is>
          <t>Card</t>
        </is>
      </c>
      <c r="P863" s="15">
        <f>IF($A863="","",DATE(YEAR($A863),MONTH($A863),1))</f>
        <v/>
      </c>
      <c r="Q863" s="16">
        <f>IF($H863="","",$J863*IFERROR(INDEX('Settings'!$L$10:$L$39,MATCH($H863,'Settings'!$I$10:$I$39,0)),0))</f>
        <v/>
      </c>
      <c r="R863" s="17">
        <f>IF($A863="","",$A863-WEEKDAY($A863,2)+1)</f>
        <v/>
      </c>
    </row>
    <row r="864">
      <c r="A864" s="5" t="n">
        <v>46275</v>
      </c>
      <c r="B864" s="4" t="inlineStr">
        <is>
          <t>Main branch</t>
        </is>
      </c>
      <c r="C864" s="4" t="inlineStr">
        <is>
          <t>Main 3</t>
        </is>
      </c>
      <c r="D864" s="4" t="inlineStr">
        <is>
          <t>Dr Ahmed Mansour</t>
        </is>
      </c>
      <c r="E864" s="4" t="inlineStr">
        <is>
          <t>P-2644</t>
        </is>
      </c>
      <c r="F864" s="4" t="inlineStr">
        <is>
          <t>Returning</t>
        </is>
      </c>
      <c r="G864" s="4" t="inlineStr">
        <is>
          <t>WhatsApp</t>
        </is>
      </c>
      <c r="H864" s="4" t="inlineStr">
        <is>
          <t>Physiotherapy session</t>
        </is>
      </c>
      <c r="I864" s="9">
        <f>IF($H864="","",IFERROR(INDEX('Settings'!$J$10:$J$39,MATCH($H864,'Settings'!$I$10:$I$39,0)),""))</f>
        <v/>
      </c>
      <c r="J864" s="6" t="n">
        <v>1</v>
      </c>
      <c r="K864" s="8" t="n">
        <v>300</v>
      </c>
      <c r="L864" s="8" t="n">
        <v>60</v>
      </c>
      <c r="M864" s="14">
        <f>IF($A864="","",$J864*$K864)</f>
        <v/>
      </c>
      <c r="N864" s="14">
        <f>IF($A864="","",$M864-$L864)</f>
        <v/>
      </c>
      <c r="O864" s="4" t="inlineStr">
        <is>
          <t>Insurance</t>
        </is>
      </c>
      <c r="P864" s="15">
        <f>IF($A864="","",DATE(YEAR($A864),MONTH($A864),1))</f>
        <v/>
      </c>
      <c r="Q864" s="16">
        <f>IF($H864="","",$J864*IFERROR(INDEX('Settings'!$L$10:$L$39,MATCH($H864,'Settings'!$I$10:$I$39,0)),0))</f>
        <v/>
      </c>
      <c r="R864" s="17">
        <f>IF($A864="","",$A864-WEEKDAY($A864,2)+1)</f>
        <v/>
      </c>
    </row>
    <row r="865">
      <c r="A865" s="5" t="n">
        <v>46275</v>
      </c>
      <c r="B865" s="4" t="inlineStr">
        <is>
          <t>Main branch</t>
        </is>
      </c>
      <c r="C865" s="4" t="inlineStr">
        <is>
          <t>Main 3</t>
        </is>
      </c>
      <c r="D865" s="4" t="inlineStr">
        <is>
          <t>Dr Ahmed Mansour</t>
        </is>
      </c>
      <c r="E865" s="4" t="inlineStr">
        <is>
          <t>P-3159</t>
        </is>
      </c>
      <c r="F865" s="4" t="inlineStr">
        <is>
          <t>Returning</t>
        </is>
      </c>
      <c r="G865" s="4" t="inlineStr">
        <is>
          <t>Walk-in</t>
        </is>
      </c>
      <c r="H865" s="4" t="inlineStr">
        <is>
          <t>Sunscreen cream</t>
        </is>
      </c>
      <c r="I865" s="9">
        <f>IF($H865="","",IFERROR(INDEX('Settings'!$J$10:$J$39,MATCH($H865,'Settings'!$I$10:$I$39,0)),""))</f>
        <v/>
      </c>
      <c r="J865" s="6" t="n">
        <v>1</v>
      </c>
      <c r="K865" s="8" t="n">
        <v>120</v>
      </c>
      <c r="L865" s="8" t="n"/>
      <c r="M865" s="14">
        <f>IF($A865="","",$J865*$K865)</f>
        <v/>
      </c>
      <c r="N865" s="14">
        <f>IF($A865="","",$M865-$L865)</f>
        <v/>
      </c>
      <c r="O865" s="4" t="inlineStr">
        <is>
          <t>Cash</t>
        </is>
      </c>
      <c r="P865" s="15">
        <f>IF($A865="","",DATE(YEAR($A865),MONTH($A865),1))</f>
        <v/>
      </c>
      <c r="Q865" s="16">
        <f>IF($H865="","",$J865*IFERROR(INDEX('Settings'!$L$10:$L$39,MATCH($H865,'Settings'!$I$10:$I$39,0)),0))</f>
        <v/>
      </c>
      <c r="R865" s="17">
        <f>IF($A865="","",$A865-WEEKDAY($A865,2)+1)</f>
        <v/>
      </c>
    </row>
    <row r="866">
      <c r="A866" s="5" t="n">
        <v>46275</v>
      </c>
      <c r="B866" s="4" t="inlineStr">
        <is>
          <t>Main branch</t>
        </is>
      </c>
      <c r="C866" s="4" t="inlineStr">
        <is>
          <t>Main 4</t>
        </is>
      </c>
      <c r="D866" s="4" t="inlineStr">
        <is>
          <t>Dr Noura Al Subaie</t>
        </is>
      </c>
      <c r="E866" s="4" t="inlineStr">
        <is>
          <t>P-3048</t>
        </is>
      </c>
      <c r="F866" s="4" t="inlineStr">
        <is>
          <t>Returning</t>
        </is>
      </c>
      <c r="G866" s="4" t="inlineStr">
        <is>
          <t>Google</t>
        </is>
      </c>
      <c r="H866" s="4" t="inlineStr">
        <is>
          <t>Specialist consultation</t>
        </is>
      </c>
      <c r="I866" s="9">
        <f>IF($H866="","",IFERROR(INDEX('Settings'!$J$10:$J$39,MATCH($H866,'Settings'!$I$10:$I$39,0)),""))</f>
        <v/>
      </c>
      <c r="J866" s="6" t="n">
        <v>1</v>
      </c>
      <c r="K866" s="8" t="n">
        <v>350</v>
      </c>
      <c r="L866" s="8" t="n"/>
      <c r="M866" s="14">
        <f>IF($A866="","",$J866*$K866)</f>
        <v/>
      </c>
      <c r="N866" s="14">
        <f>IF($A866="","",$M866-$L866)</f>
        <v/>
      </c>
      <c r="O866" s="4" t="inlineStr">
        <is>
          <t>Cash</t>
        </is>
      </c>
      <c r="P866" s="15">
        <f>IF($A866="","",DATE(YEAR($A866),MONTH($A866),1))</f>
        <v/>
      </c>
      <c r="Q866" s="16">
        <f>IF($H866="","",$J866*IFERROR(INDEX('Settings'!$L$10:$L$39,MATCH($H866,'Settings'!$I$10:$I$39,0)),0))</f>
        <v/>
      </c>
      <c r="R866" s="17">
        <f>IF($A866="","",$A866-WEEKDAY($A866,2)+1)</f>
        <v/>
      </c>
    </row>
    <row r="867">
      <c r="A867" s="5" t="n">
        <v>46275</v>
      </c>
      <c r="B867" s="4" t="inlineStr">
        <is>
          <t>North branch</t>
        </is>
      </c>
      <c r="C867" s="4" t="inlineStr">
        <is>
          <t>North 1</t>
        </is>
      </c>
      <c r="D867" s="4" t="inlineStr">
        <is>
          <t>Dr Khaled Youssef</t>
        </is>
      </c>
      <c r="E867" s="4" t="inlineStr">
        <is>
          <t>P-2363</t>
        </is>
      </c>
      <c r="F867" s="4" t="inlineStr">
        <is>
          <t>Returning</t>
        </is>
      </c>
      <c r="G867" s="4" t="inlineStr">
        <is>
          <t>Walk-in</t>
        </is>
      </c>
      <c r="H867" s="4" t="inlineStr">
        <is>
          <t>Physiotherapy session</t>
        </is>
      </c>
      <c r="I867" s="9">
        <f>IF($H867="","",IFERROR(INDEX('Settings'!$J$10:$J$39,MATCH($H867,'Settings'!$I$10:$I$39,0)),""))</f>
        <v/>
      </c>
      <c r="J867" s="6" t="n">
        <v>1</v>
      </c>
      <c r="K867" s="8" t="n">
        <v>300</v>
      </c>
      <c r="L867" s="8" t="n"/>
      <c r="M867" s="14">
        <f>IF($A867="","",$J867*$K867)</f>
        <v/>
      </c>
      <c r="N867" s="14">
        <f>IF($A867="","",$M867-$L867)</f>
        <v/>
      </c>
      <c r="O867" s="4" t="inlineStr">
        <is>
          <t>Payment link</t>
        </is>
      </c>
      <c r="P867" s="15">
        <f>IF($A867="","",DATE(YEAR($A867),MONTH($A867),1))</f>
        <v/>
      </c>
      <c r="Q867" s="16">
        <f>IF($H867="","",$J867*IFERROR(INDEX('Settings'!$L$10:$L$39,MATCH($H867,'Settings'!$I$10:$I$39,0)),0))</f>
        <v/>
      </c>
      <c r="R867" s="17">
        <f>IF($A867="","",$A867-WEEKDAY($A867,2)+1)</f>
        <v/>
      </c>
    </row>
    <row r="868">
      <c r="A868" s="5" t="n">
        <v>46275</v>
      </c>
      <c r="B868" s="4" t="inlineStr">
        <is>
          <t>North branch</t>
        </is>
      </c>
      <c r="C868" s="4" t="inlineStr">
        <is>
          <t>North 1</t>
        </is>
      </c>
      <c r="D868" s="4" t="inlineStr">
        <is>
          <t>Dr Khaled Youssef</t>
        </is>
      </c>
      <c r="E868" s="4" t="inlineStr">
        <is>
          <t>P-2570</t>
        </is>
      </c>
      <c r="F868" s="4" t="inlineStr">
        <is>
          <t>Returning</t>
        </is>
      </c>
      <c r="G868" s="4" t="inlineStr">
        <is>
          <t>Instagram</t>
        </is>
      </c>
      <c r="H868" s="4" t="inlineStr">
        <is>
          <t>Botulinum toxin</t>
        </is>
      </c>
      <c r="I868" s="9">
        <f>IF($H868="","",IFERROR(INDEX('Settings'!$J$10:$J$39,MATCH($H868,'Settings'!$I$10:$I$39,0)),""))</f>
        <v/>
      </c>
      <c r="J868" s="6" t="n">
        <v>1</v>
      </c>
      <c r="K868" s="8" t="n">
        <v>1500</v>
      </c>
      <c r="L868" s="8" t="n"/>
      <c r="M868" s="14">
        <f>IF($A868="","",$J868*$K868)</f>
        <v/>
      </c>
      <c r="N868" s="14">
        <f>IF($A868="","",$M868-$L868)</f>
        <v/>
      </c>
      <c r="O868" s="4" t="inlineStr">
        <is>
          <t>Card</t>
        </is>
      </c>
      <c r="P868" s="15">
        <f>IF($A868="","",DATE(YEAR($A868),MONTH($A868),1))</f>
        <v/>
      </c>
      <c r="Q868" s="16">
        <f>IF($H868="","",$J868*IFERROR(INDEX('Settings'!$L$10:$L$39,MATCH($H868,'Settings'!$I$10:$I$39,0)),0))</f>
        <v/>
      </c>
      <c r="R868" s="17">
        <f>IF($A868="","",$A868-WEEKDAY($A868,2)+1)</f>
        <v/>
      </c>
    </row>
    <row r="869">
      <c r="A869" s="5" t="n">
        <v>46275</v>
      </c>
      <c r="B869" s="4" t="inlineStr">
        <is>
          <t>North branch</t>
        </is>
      </c>
      <c r="C869" s="4" t="inlineStr">
        <is>
          <t>North 1</t>
        </is>
      </c>
      <c r="D869" s="4" t="inlineStr">
        <is>
          <t>Dr Mohamed Adel</t>
        </is>
      </c>
      <c r="E869" s="4" t="inlineStr">
        <is>
          <t>P-3036</t>
        </is>
      </c>
      <c r="F869" s="4" t="inlineStr">
        <is>
          <t>Returning</t>
        </is>
      </c>
      <c r="G869" s="4" t="inlineStr">
        <is>
          <t>Google</t>
        </is>
      </c>
      <c r="H869" s="4" t="inlineStr">
        <is>
          <t>Specialist consultation</t>
        </is>
      </c>
      <c r="I869" s="9">
        <f>IF($H869="","",IFERROR(INDEX('Settings'!$J$10:$J$39,MATCH($H869,'Settings'!$I$10:$I$39,0)),""))</f>
        <v/>
      </c>
      <c r="J869" s="6" t="n">
        <v>1</v>
      </c>
      <c r="K869" s="8" t="n">
        <v>350</v>
      </c>
      <c r="L869" s="8" t="n"/>
      <c r="M869" s="14">
        <f>IF($A869="","",$J869*$K869)</f>
        <v/>
      </c>
      <c r="N869" s="14">
        <f>IF($A869="","",$M869-$L869)</f>
        <v/>
      </c>
      <c r="O869" s="4" t="inlineStr">
        <is>
          <t>Cash</t>
        </is>
      </c>
      <c r="P869" s="15">
        <f>IF($A869="","",DATE(YEAR($A869),MONTH($A869),1))</f>
        <v/>
      </c>
      <c r="Q869" s="16">
        <f>IF($H869="","",$J869*IFERROR(INDEX('Settings'!$L$10:$L$39,MATCH($H869,'Settings'!$I$10:$I$39,0)),0))</f>
        <v/>
      </c>
      <c r="R869" s="17">
        <f>IF($A869="","",$A869-WEEKDAY($A869,2)+1)</f>
        <v/>
      </c>
    </row>
    <row r="870">
      <c r="A870" s="5" t="n">
        <v>46275</v>
      </c>
      <c r="B870" s="4" t="inlineStr">
        <is>
          <t>North branch</t>
        </is>
      </c>
      <c r="C870" s="4" t="inlineStr">
        <is>
          <t>North 1</t>
        </is>
      </c>
      <c r="D870" s="4" t="inlineStr">
        <is>
          <t>Dr Mohamed Adel</t>
        </is>
      </c>
      <c r="E870" s="4" t="inlineStr">
        <is>
          <t>P-2607</t>
        </is>
      </c>
      <c r="F870" s="4" t="inlineStr">
        <is>
          <t>Returning</t>
        </is>
      </c>
      <c r="G870" s="4" t="inlineStr">
        <is>
          <t>WhatsApp</t>
        </is>
      </c>
      <c r="H870" s="4" t="inlineStr">
        <is>
          <t>Laser session, face</t>
        </is>
      </c>
      <c r="I870" s="9">
        <f>IF($H870="","",IFERROR(INDEX('Settings'!$J$10:$J$39,MATCH($H870,'Settings'!$I$10:$I$39,0)),""))</f>
        <v/>
      </c>
      <c r="J870" s="6" t="n">
        <v>1</v>
      </c>
      <c r="K870" s="8" t="n">
        <v>600</v>
      </c>
      <c r="L870" s="8" t="n"/>
      <c r="M870" s="14">
        <f>IF($A870="","",$J870*$K870)</f>
        <v/>
      </c>
      <c r="N870" s="14">
        <f>IF($A870="","",$M870-$L870)</f>
        <v/>
      </c>
      <c r="O870" s="4" t="inlineStr">
        <is>
          <t>Transfer</t>
        </is>
      </c>
      <c r="P870" s="15">
        <f>IF($A870="","",DATE(YEAR($A870),MONTH($A870),1))</f>
        <v/>
      </c>
      <c r="Q870" s="16">
        <f>IF($H870="","",$J870*IFERROR(INDEX('Settings'!$L$10:$L$39,MATCH($H870,'Settings'!$I$10:$I$39,0)),0))</f>
        <v/>
      </c>
      <c r="R870" s="17">
        <f>IF($A870="","",$A870-WEEKDAY($A870,2)+1)</f>
        <v/>
      </c>
    </row>
    <row r="871">
      <c r="A871" s="5" t="n">
        <v>46275</v>
      </c>
      <c r="B871" s="4" t="inlineStr">
        <is>
          <t>North branch</t>
        </is>
      </c>
      <c r="C871" s="4" t="inlineStr">
        <is>
          <t>North 1</t>
        </is>
      </c>
      <c r="D871" s="4" t="inlineStr">
        <is>
          <t>Dr Mohamed Adel</t>
        </is>
      </c>
      <c r="E871" s="4" t="inlineStr">
        <is>
          <t>P-2166</t>
        </is>
      </c>
      <c r="F871" s="4" t="inlineStr">
        <is>
          <t>Returning</t>
        </is>
      </c>
      <c r="G871" s="4" t="inlineStr">
        <is>
          <t>Referral</t>
        </is>
      </c>
      <c r="H871" s="4" t="inlineStr">
        <is>
          <t>Physiotherapy session</t>
        </is>
      </c>
      <c r="I871" s="9">
        <f>IF($H871="","",IFERROR(INDEX('Settings'!$J$10:$J$39,MATCH($H871,'Settings'!$I$10:$I$39,0)),""))</f>
        <v/>
      </c>
      <c r="J871" s="6" t="n">
        <v>1</v>
      </c>
      <c r="K871" s="8" t="n">
        <v>300</v>
      </c>
      <c r="L871" s="8" t="n">
        <v>60</v>
      </c>
      <c r="M871" s="14">
        <f>IF($A871="","",$J871*$K871)</f>
        <v/>
      </c>
      <c r="N871" s="14">
        <f>IF($A871="","",$M871-$L871)</f>
        <v/>
      </c>
      <c r="O871" s="4" t="inlineStr">
        <is>
          <t>Transfer</t>
        </is>
      </c>
      <c r="P871" s="15">
        <f>IF($A871="","",DATE(YEAR($A871),MONTH($A871),1))</f>
        <v/>
      </c>
      <c r="Q871" s="16">
        <f>IF($H871="","",$J871*IFERROR(INDEX('Settings'!$L$10:$L$39,MATCH($H871,'Settings'!$I$10:$I$39,0)),0))</f>
        <v/>
      </c>
      <c r="R871" s="17">
        <f>IF($A871="","",$A871-WEEKDAY($A871,2)+1)</f>
        <v/>
      </c>
    </row>
    <row r="872">
      <c r="A872" s="5" t="n">
        <v>46275</v>
      </c>
      <c r="B872" s="4" t="inlineStr">
        <is>
          <t>North branch</t>
        </is>
      </c>
      <c r="C872" s="4" t="inlineStr">
        <is>
          <t>North 2</t>
        </is>
      </c>
      <c r="D872" s="4" t="inlineStr">
        <is>
          <t>Dr Khaled Youssef</t>
        </is>
      </c>
      <c r="E872" s="4" t="inlineStr">
        <is>
          <t>P-3147</t>
        </is>
      </c>
      <c r="F872" s="4" t="inlineStr">
        <is>
          <t>Returning</t>
        </is>
      </c>
      <c r="G872" s="4" t="inlineStr">
        <is>
          <t>Referral</t>
        </is>
      </c>
      <c r="H872" s="4" t="inlineStr">
        <is>
          <t>Specialist consultation</t>
        </is>
      </c>
      <c r="I872" s="9">
        <f>IF($H872="","",IFERROR(INDEX('Settings'!$J$10:$J$39,MATCH($H872,'Settings'!$I$10:$I$39,0)),""))</f>
        <v/>
      </c>
      <c r="J872" s="6" t="n">
        <v>1</v>
      </c>
      <c r="K872" s="8" t="n">
        <v>350</v>
      </c>
      <c r="L872" s="8" t="n"/>
      <c r="M872" s="14">
        <f>IF($A872="","",$J872*$K872)</f>
        <v/>
      </c>
      <c r="N872" s="14">
        <f>IF($A872="","",$M872-$L872)</f>
        <v/>
      </c>
      <c r="O872" s="4" t="inlineStr">
        <is>
          <t>Transfer</t>
        </is>
      </c>
      <c r="P872" s="15">
        <f>IF($A872="","",DATE(YEAR($A872),MONTH($A872),1))</f>
        <v/>
      </c>
      <c r="Q872" s="16">
        <f>IF($H872="","",$J872*IFERROR(INDEX('Settings'!$L$10:$L$39,MATCH($H872,'Settings'!$I$10:$I$39,0)),0))</f>
        <v/>
      </c>
      <c r="R872" s="17">
        <f>IF($A872="","",$A872-WEEKDAY($A872,2)+1)</f>
        <v/>
      </c>
    </row>
    <row r="873">
      <c r="A873" s="5" t="n">
        <v>46275</v>
      </c>
      <c r="B873" s="4" t="inlineStr">
        <is>
          <t>North branch</t>
        </is>
      </c>
      <c r="C873" s="4" t="inlineStr">
        <is>
          <t>North 2</t>
        </is>
      </c>
      <c r="D873" s="4" t="inlineStr">
        <is>
          <t>Dr Khaled Youssef</t>
        </is>
      </c>
      <c r="E873" s="4" t="inlineStr">
        <is>
          <t>P-2506</t>
        </is>
      </c>
      <c r="F873" s="4" t="inlineStr">
        <is>
          <t>New</t>
        </is>
      </c>
      <c r="G873" s="4" t="inlineStr">
        <is>
          <t>WhatsApp</t>
        </is>
      </c>
      <c r="H873" s="4" t="inlineStr">
        <is>
          <t>Laser session, body</t>
        </is>
      </c>
      <c r="I873" s="9">
        <f>IF($H873="","",IFERROR(INDEX('Settings'!$J$10:$J$39,MATCH($H873,'Settings'!$I$10:$I$39,0)),""))</f>
        <v/>
      </c>
      <c r="J873" s="6" t="n">
        <v>1</v>
      </c>
      <c r="K873" s="8" t="n">
        <v>1200</v>
      </c>
      <c r="L873" s="8" t="n">
        <v>240</v>
      </c>
      <c r="M873" s="14">
        <f>IF($A873="","",$J873*$K873)</f>
        <v/>
      </c>
      <c r="N873" s="14">
        <f>IF($A873="","",$M873-$L873)</f>
        <v/>
      </c>
      <c r="O873" s="4" t="inlineStr">
        <is>
          <t>Card</t>
        </is>
      </c>
      <c r="P873" s="15">
        <f>IF($A873="","",DATE(YEAR($A873),MONTH($A873),1))</f>
        <v/>
      </c>
      <c r="Q873" s="16">
        <f>IF($H873="","",$J873*IFERROR(INDEX('Settings'!$L$10:$L$39,MATCH($H873,'Settings'!$I$10:$I$39,0)),0))</f>
        <v/>
      </c>
      <c r="R873" s="17">
        <f>IF($A873="","",$A873-WEEKDAY($A873,2)+1)</f>
        <v/>
      </c>
    </row>
    <row r="874">
      <c r="A874" s="5" t="n">
        <v>46277</v>
      </c>
      <c r="B874" s="4" t="inlineStr">
        <is>
          <t>Main branch</t>
        </is>
      </c>
      <c r="C874" s="4" t="inlineStr">
        <is>
          <t>Main 1</t>
        </is>
      </c>
      <c r="D874" s="4" t="inlineStr">
        <is>
          <t>Dr Sara Al Harbi</t>
        </is>
      </c>
      <c r="E874" s="4" t="inlineStr">
        <is>
          <t>P-2463</t>
        </is>
      </c>
      <c r="F874" s="4" t="inlineStr">
        <is>
          <t>Returning</t>
        </is>
      </c>
      <c r="G874" s="4" t="inlineStr">
        <is>
          <t>Walk-in</t>
        </is>
      </c>
      <c r="H874" s="4" t="inlineStr">
        <is>
          <t>Laser session, face</t>
        </is>
      </c>
      <c r="I874" s="9">
        <f>IF($H874="","",IFERROR(INDEX('Settings'!$J$10:$J$39,MATCH($H874,'Settings'!$I$10:$I$39,0)),""))</f>
        <v/>
      </c>
      <c r="J874" s="6" t="n">
        <v>1</v>
      </c>
      <c r="K874" s="8" t="n">
        <v>600</v>
      </c>
      <c r="L874" s="8" t="n"/>
      <c r="M874" s="14">
        <f>IF($A874="","",$J874*$K874)</f>
        <v/>
      </c>
      <c r="N874" s="14">
        <f>IF($A874="","",$M874-$L874)</f>
        <v/>
      </c>
      <c r="O874" s="4" t="inlineStr">
        <is>
          <t>Card</t>
        </is>
      </c>
      <c r="P874" s="15">
        <f>IF($A874="","",DATE(YEAR($A874),MONTH($A874),1))</f>
        <v/>
      </c>
      <c r="Q874" s="16">
        <f>IF($H874="","",$J874*IFERROR(INDEX('Settings'!$L$10:$L$39,MATCH($H874,'Settings'!$I$10:$I$39,0)),0))</f>
        <v/>
      </c>
      <c r="R874" s="17">
        <f>IF($A874="","",$A874-WEEKDAY($A874,2)+1)</f>
        <v/>
      </c>
    </row>
    <row r="875">
      <c r="A875" s="5" t="n">
        <v>46277</v>
      </c>
      <c r="B875" s="4" t="inlineStr">
        <is>
          <t>Main branch</t>
        </is>
      </c>
      <c r="C875" s="4" t="inlineStr">
        <is>
          <t>Main 1</t>
        </is>
      </c>
      <c r="D875" s="4" t="inlineStr">
        <is>
          <t>Dr Ahmed Mansour</t>
        </is>
      </c>
      <c r="E875" s="4" t="inlineStr">
        <is>
          <t>P-2239</t>
        </is>
      </c>
      <c r="F875" s="4" t="inlineStr">
        <is>
          <t>Returning</t>
        </is>
      </c>
      <c r="G875" s="4" t="inlineStr">
        <is>
          <t>WhatsApp</t>
        </is>
      </c>
      <c r="H875" s="4" t="inlineStr">
        <is>
          <t>Botulinum toxin</t>
        </is>
      </c>
      <c r="I875" s="9">
        <f>IF($H875="","",IFERROR(INDEX('Settings'!$J$10:$J$39,MATCH($H875,'Settings'!$I$10:$I$39,0)),""))</f>
        <v/>
      </c>
      <c r="J875" s="6" t="n">
        <v>1</v>
      </c>
      <c r="K875" s="8" t="n">
        <v>1500</v>
      </c>
      <c r="L875" s="8" t="n"/>
      <c r="M875" s="14">
        <f>IF($A875="","",$J875*$K875)</f>
        <v/>
      </c>
      <c r="N875" s="14">
        <f>IF($A875="","",$M875-$L875)</f>
        <v/>
      </c>
      <c r="O875" s="4" t="inlineStr">
        <is>
          <t>Card</t>
        </is>
      </c>
      <c r="P875" s="15">
        <f>IF($A875="","",DATE(YEAR($A875),MONTH($A875),1))</f>
        <v/>
      </c>
      <c r="Q875" s="16">
        <f>IF($H875="","",$J875*IFERROR(INDEX('Settings'!$L$10:$L$39,MATCH($H875,'Settings'!$I$10:$I$39,0)),0))</f>
        <v/>
      </c>
      <c r="R875" s="17">
        <f>IF($A875="","",$A875-WEEKDAY($A875,2)+1)</f>
        <v/>
      </c>
    </row>
    <row r="876">
      <c r="A876" s="5" t="n">
        <v>46277</v>
      </c>
      <c r="B876" s="4" t="inlineStr">
        <is>
          <t>Main branch</t>
        </is>
      </c>
      <c r="C876" s="4" t="inlineStr">
        <is>
          <t>Main 1</t>
        </is>
      </c>
      <c r="D876" s="4" t="inlineStr">
        <is>
          <t>Dr Sara Al Harbi</t>
        </is>
      </c>
      <c r="E876" s="4" t="inlineStr">
        <is>
          <t>P-2911</t>
        </is>
      </c>
      <c r="F876" s="4" t="inlineStr">
        <is>
          <t>Returning</t>
        </is>
      </c>
      <c r="G876" s="4" t="inlineStr">
        <is>
          <t>Google</t>
        </is>
      </c>
      <c r="H876" s="4" t="inlineStr">
        <is>
          <t>Laser session, face</t>
        </is>
      </c>
      <c r="I876" s="9">
        <f>IF($H876="","",IFERROR(INDEX('Settings'!$J$10:$J$39,MATCH($H876,'Settings'!$I$10:$I$39,0)),""))</f>
        <v/>
      </c>
      <c r="J876" s="6" t="n">
        <v>1</v>
      </c>
      <c r="K876" s="8" t="n">
        <v>600</v>
      </c>
      <c r="L876" s="8" t="n">
        <v>120</v>
      </c>
      <c r="M876" s="14">
        <f>IF($A876="","",$J876*$K876)</f>
        <v/>
      </c>
      <c r="N876" s="14">
        <f>IF($A876="","",$M876-$L876)</f>
        <v/>
      </c>
      <c r="O876" s="4" t="inlineStr">
        <is>
          <t>Insurance</t>
        </is>
      </c>
      <c r="P876" s="15">
        <f>IF($A876="","",DATE(YEAR($A876),MONTH($A876),1))</f>
        <v/>
      </c>
      <c r="Q876" s="16">
        <f>IF($H876="","",$J876*IFERROR(INDEX('Settings'!$L$10:$L$39,MATCH($H876,'Settings'!$I$10:$I$39,0)),0))</f>
        <v/>
      </c>
      <c r="R876" s="17">
        <f>IF($A876="","",$A876-WEEKDAY($A876,2)+1)</f>
        <v/>
      </c>
    </row>
    <row r="877">
      <c r="A877" s="5" t="n">
        <v>46277</v>
      </c>
      <c r="B877" s="4" t="inlineStr">
        <is>
          <t>Main branch</t>
        </is>
      </c>
      <c r="C877" s="4" t="inlineStr">
        <is>
          <t>Main 2</t>
        </is>
      </c>
      <c r="D877" s="4" t="inlineStr">
        <is>
          <t>Dr Sara Al Harbi</t>
        </is>
      </c>
      <c r="E877" s="4" t="inlineStr">
        <is>
          <t>P-2198</t>
        </is>
      </c>
      <c r="F877" s="4" t="inlineStr">
        <is>
          <t>New</t>
        </is>
      </c>
      <c r="G877" s="4" t="inlineStr">
        <is>
          <t>Referral</t>
        </is>
      </c>
      <c r="H877" s="4" t="inlineStr">
        <is>
          <t>Botulinum toxin</t>
        </is>
      </c>
      <c r="I877" s="9">
        <f>IF($H877="","",IFERROR(INDEX('Settings'!$J$10:$J$39,MATCH($H877,'Settings'!$I$10:$I$39,0)),""))</f>
        <v/>
      </c>
      <c r="J877" s="6" t="n">
        <v>1</v>
      </c>
      <c r="K877" s="8" t="n">
        <v>1500</v>
      </c>
      <c r="L877" s="8" t="n"/>
      <c r="M877" s="14">
        <f>IF($A877="","",$J877*$K877)</f>
        <v/>
      </c>
      <c r="N877" s="14">
        <f>IF($A877="","",$M877-$L877)</f>
        <v/>
      </c>
      <c r="O877" s="4" t="inlineStr">
        <is>
          <t>Transfer</t>
        </is>
      </c>
      <c r="P877" s="15">
        <f>IF($A877="","",DATE(YEAR($A877),MONTH($A877),1))</f>
        <v/>
      </c>
      <c r="Q877" s="16">
        <f>IF($H877="","",$J877*IFERROR(INDEX('Settings'!$L$10:$L$39,MATCH($H877,'Settings'!$I$10:$I$39,0)),0))</f>
        <v/>
      </c>
      <c r="R877" s="17">
        <f>IF($A877="","",$A877-WEEKDAY($A877,2)+1)</f>
        <v/>
      </c>
    </row>
    <row r="878">
      <c r="A878" s="5" t="n">
        <v>46277</v>
      </c>
      <c r="B878" s="4" t="inlineStr">
        <is>
          <t>Main branch</t>
        </is>
      </c>
      <c r="C878" s="4" t="inlineStr">
        <is>
          <t>Main 3</t>
        </is>
      </c>
      <c r="D878" s="4" t="inlineStr">
        <is>
          <t>Dr Noura Al Subaie</t>
        </is>
      </c>
      <c r="E878" s="4" t="inlineStr">
        <is>
          <t>P-2377</t>
        </is>
      </c>
      <c r="F878" s="4" t="inlineStr">
        <is>
          <t>Returning</t>
        </is>
      </c>
      <c r="G878" s="4" t="inlineStr">
        <is>
          <t>WhatsApp</t>
        </is>
      </c>
      <c r="H878" s="4" t="inlineStr">
        <is>
          <t>Follow-up visit</t>
        </is>
      </c>
      <c r="I878" s="9">
        <f>IF($H878="","",IFERROR(INDEX('Settings'!$J$10:$J$39,MATCH($H878,'Settings'!$I$10:$I$39,0)),""))</f>
        <v/>
      </c>
      <c r="J878" s="6" t="n">
        <v>1</v>
      </c>
      <c r="K878" s="8" t="n">
        <v>150</v>
      </c>
      <c r="L878" s="8" t="n"/>
      <c r="M878" s="14">
        <f>IF($A878="","",$J878*$K878)</f>
        <v/>
      </c>
      <c r="N878" s="14">
        <f>IF($A878="","",$M878-$L878)</f>
        <v/>
      </c>
      <c r="O878" s="4" t="inlineStr">
        <is>
          <t>Cash</t>
        </is>
      </c>
      <c r="P878" s="15">
        <f>IF($A878="","",DATE(YEAR($A878),MONTH($A878),1))</f>
        <v/>
      </c>
      <c r="Q878" s="16">
        <f>IF($H878="","",$J878*IFERROR(INDEX('Settings'!$L$10:$L$39,MATCH($H878,'Settings'!$I$10:$I$39,0)),0))</f>
        <v/>
      </c>
      <c r="R878" s="17">
        <f>IF($A878="","",$A878-WEEKDAY($A878,2)+1)</f>
        <v/>
      </c>
    </row>
    <row r="879">
      <c r="A879" s="5" t="n">
        <v>46277</v>
      </c>
      <c r="B879" s="4" t="inlineStr">
        <is>
          <t>North branch</t>
        </is>
      </c>
      <c r="C879" s="4" t="inlineStr">
        <is>
          <t>North 2</t>
        </is>
      </c>
      <c r="D879" s="4" t="inlineStr">
        <is>
          <t>Dr Layla Al Qahtani</t>
        </is>
      </c>
      <c r="E879" s="4" t="inlineStr">
        <is>
          <t>P-3180</t>
        </is>
      </c>
      <c r="F879" s="4" t="inlineStr">
        <is>
          <t>New</t>
        </is>
      </c>
      <c r="G879" s="4" t="inlineStr">
        <is>
          <t>Instagram</t>
        </is>
      </c>
      <c r="H879" s="4" t="inlineStr">
        <is>
          <t>Sunscreen cream</t>
        </is>
      </c>
      <c r="I879" s="9">
        <f>IF($H879="","",IFERROR(INDEX('Settings'!$J$10:$J$39,MATCH($H879,'Settings'!$I$10:$I$39,0)),""))</f>
        <v/>
      </c>
      <c r="J879" s="6" t="n">
        <v>2</v>
      </c>
      <c r="K879" s="8" t="n">
        <v>120</v>
      </c>
      <c r="L879" s="8" t="n">
        <v>50</v>
      </c>
      <c r="M879" s="14">
        <f>IF($A879="","",$J879*$K879)</f>
        <v/>
      </c>
      <c r="N879" s="14">
        <f>IF($A879="","",$M879-$L879)</f>
        <v/>
      </c>
      <c r="O879" s="4" t="inlineStr">
        <is>
          <t>Card</t>
        </is>
      </c>
      <c r="P879" s="15">
        <f>IF($A879="","",DATE(YEAR($A879),MONTH($A879),1))</f>
        <v/>
      </c>
      <c r="Q879" s="16">
        <f>IF($H879="","",$J879*IFERROR(INDEX('Settings'!$L$10:$L$39,MATCH($H879,'Settings'!$I$10:$I$39,0)),0))</f>
        <v/>
      </c>
      <c r="R879" s="17">
        <f>IF($A879="","",$A879-WEEKDAY($A879,2)+1)</f>
        <v/>
      </c>
    </row>
    <row r="880">
      <c r="A880" s="5" t="n">
        <v>46277</v>
      </c>
      <c r="B880" s="4" t="inlineStr">
        <is>
          <t>North branch</t>
        </is>
      </c>
      <c r="C880" s="4" t="inlineStr">
        <is>
          <t>North 2</t>
        </is>
      </c>
      <c r="D880" s="4" t="inlineStr">
        <is>
          <t>Dr Mohamed Adel</t>
        </is>
      </c>
      <c r="E880" s="4" t="inlineStr">
        <is>
          <t>P-3400</t>
        </is>
      </c>
      <c r="F880" s="4" t="inlineStr">
        <is>
          <t>Returning</t>
        </is>
      </c>
      <c r="G880" s="4" t="inlineStr">
        <is>
          <t>WhatsApp</t>
        </is>
      </c>
      <c r="H880" s="4" t="inlineStr">
        <is>
          <t>Laser session, face</t>
        </is>
      </c>
      <c r="I880" s="9">
        <f>IF($H880="","",IFERROR(INDEX('Settings'!$J$10:$J$39,MATCH($H880,'Settings'!$I$10:$I$39,0)),""))</f>
        <v/>
      </c>
      <c r="J880" s="6" t="n">
        <v>1</v>
      </c>
      <c r="K880" s="8" t="n">
        <v>600</v>
      </c>
      <c r="L880" s="8" t="n"/>
      <c r="M880" s="14">
        <f>IF($A880="","",$J880*$K880)</f>
        <v/>
      </c>
      <c r="N880" s="14">
        <f>IF($A880="","",$M880-$L880)</f>
        <v/>
      </c>
      <c r="O880" s="4" t="inlineStr">
        <is>
          <t>Card</t>
        </is>
      </c>
      <c r="P880" s="15">
        <f>IF($A880="","",DATE(YEAR($A880),MONTH($A880),1))</f>
        <v/>
      </c>
      <c r="Q880" s="16">
        <f>IF($H880="","",$J880*IFERROR(INDEX('Settings'!$L$10:$L$39,MATCH($H880,'Settings'!$I$10:$I$39,0)),0))</f>
        <v/>
      </c>
      <c r="R880" s="17">
        <f>IF($A880="","",$A880-WEEKDAY($A880,2)+1)</f>
        <v/>
      </c>
    </row>
    <row r="881">
      <c r="A881" s="5" t="n">
        <v>46277</v>
      </c>
      <c r="B881" s="4" t="inlineStr">
        <is>
          <t>North branch</t>
        </is>
      </c>
      <c r="C881" s="4" t="inlineStr">
        <is>
          <t>North 2</t>
        </is>
      </c>
      <c r="D881" s="4" t="inlineStr">
        <is>
          <t>Dr Khaled Youssef</t>
        </is>
      </c>
      <c r="E881" s="4" t="inlineStr">
        <is>
          <t>P-2825</t>
        </is>
      </c>
      <c r="F881" s="4" t="inlineStr">
        <is>
          <t>Returning</t>
        </is>
      </c>
      <c r="G881" s="4" t="inlineStr">
        <is>
          <t>Google</t>
        </is>
      </c>
      <c r="H881" s="4" t="inlineStr">
        <is>
          <t>Chemical peel</t>
        </is>
      </c>
      <c r="I881" s="9">
        <f>IF($H881="","",IFERROR(INDEX('Settings'!$J$10:$J$39,MATCH($H881,'Settings'!$I$10:$I$39,0)),""))</f>
        <v/>
      </c>
      <c r="J881" s="6" t="n">
        <v>1</v>
      </c>
      <c r="K881" s="8" t="n">
        <v>800</v>
      </c>
      <c r="L881" s="8" t="n">
        <v>40</v>
      </c>
      <c r="M881" s="14">
        <f>IF($A881="","",$J881*$K881)</f>
        <v/>
      </c>
      <c r="N881" s="14">
        <f>IF($A881="","",$M881-$L881)</f>
        <v/>
      </c>
      <c r="O881" s="4" t="inlineStr">
        <is>
          <t>Card</t>
        </is>
      </c>
      <c r="P881" s="15">
        <f>IF($A881="","",DATE(YEAR($A881),MONTH($A881),1))</f>
        <v/>
      </c>
      <c r="Q881" s="16">
        <f>IF($H881="","",$J881*IFERROR(INDEX('Settings'!$L$10:$L$39,MATCH($H881,'Settings'!$I$10:$I$39,0)),0))</f>
        <v/>
      </c>
      <c r="R881" s="17">
        <f>IF($A881="","",$A881-WEEKDAY($A881,2)+1)</f>
        <v/>
      </c>
    </row>
    <row r="882">
      <c r="A882" s="5" t="n">
        <v>46277</v>
      </c>
      <c r="B882" s="4" t="inlineStr">
        <is>
          <t>North branch</t>
        </is>
      </c>
      <c r="C882" s="4" t="inlineStr">
        <is>
          <t>North 2</t>
        </is>
      </c>
      <c r="D882" s="4" t="inlineStr">
        <is>
          <t>Dr Khaled Youssef</t>
        </is>
      </c>
      <c r="E882" s="4" t="inlineStr">
        <is>
          <t>P-2587</t>
        </is>
      </c>
      <c r="F882" s="4" t="inlineStr">
        <is>
          <t>Returning</t>
        </is>
      </c>
      <c r="G882" s="4" t="inlineStr">
        <is>
          <t>Google</t>
        </is>
      </c>
      <c r="H882" s="4" t="inlineStr">
        <is>
          <t>Laser session, body</t>
        </is>
      </c>
      <c r="I882" s="9">
        <f>IF($H882="","",IFERROR(INDEX('Settings'!$J$10:$J$39,MATCH($H882,'Settings'!$I$10:$I$39,0)),""))</f>
        <v/>
      </c>
      <c r="J882" s="6" t="n">
        <v>1</v>
      </c>
      <c r="K882" s="8" t="n">
        <v>1200</v>
      </c>
      <c r="L882" s="8" t="n"/>
      <c r="M882" s="14">
        <f>IF($A882="","",$J882*$K882)</f>
        <v/>
      </c>
      <c r="N882" s="14">
        <f>IF($A882="","",$M882-$L882)</f>
        <v/>
      </c>
      <c r="O882" s="4" t="inlineStr">
        <is>
          <t>Card</t>
        </is>
      </c>
      <c r="P882" s="15">
        <f>IF($A882="","",DATE(YEAR($A882),MONTH($A882),1))</f>
        <v/>
      </c>
      <c r="Q882" s="16">
        <f>IF($H882="","",$J882*IFERROR(INDEX('Settings'!$L$10:$L$39,MATCH($H882,'Settings'!$I$10:$I$39,0)),0))</f>
        <v/>
      </c>
      <c r="R882" s="17">
        <f>IF($A882="","",$A882-WEEKDAY($A882,2)+1)</f>
        <v/>
      </c>
    </row>
    <row r="883">
      <c r="A883" s="5" t="n">
        <v>46277</v>
      </c>
      <c r="B883" s="4" t="inlineStr">
        <is>
          <t>North branch</t>
        </is>
      </c>
      <c r="C883" s="4" t="inlineStr">
        <is>
          <t>North 2</t>
        </is>
      </c>
      <c r="D883" s="4" t="inlineStr">
        <is>
          <t>Dr Layla Al Qahtani</t>
        </is>
      </c>
      <c r="E883" s="4" t="inlineStr">
        <is>
          <t>P-2945</t>
        </is>
      </c>
      <c r="F883" s="4" t="inlineStr">
        <is>
          <t>Returning</t>
        </is>
      </c>
      <c r="G883" s="4" t="inlineStr">
        <is>
          <t>Google</t>
        </is>
      </c>
      <c r="H883" s="4" t="inlineStr">
        <is>
          <t>Sunscreen cream</t>
        </is>
      </c>
      <c r="I883" s="9">
        <f>IF($H883="","",IFERROR(INDEX('Settings'!$J$10:$J$39,MATCH($H883,'Settings'!$I$10:$I$39,0)),""))</f>
        <v/>
      </c>
      <c r="J883" s="6" t="n">
        <v>1</v>
      </c>
      <c r="K883" s="8" t="n">
        <v>120</v>
      </c>
      <c r="L883" s="8" t="n"/>
      <c r="M883" s="14">
        <f>IF($A883="","",$J883*$K883)</f>
        <v/>
      </c>
      <c r="N883" s="14">
        <f>IF($A883="","",$M883-$L883)</f>
        <v/>
      </c>
      <c r="O883" s="4" t="inlineStr">
        <is>
          <t>Card</t>
        </is>
      </c>
      <c r="P883" s="15">
        <f>IF($A883="","",DATE(YEAR($A883),MONTH($A883),1))</f>
        <v/>
      </c>
      <c r="Q883" s="16">
        <f>IF($H883="","",$J883*IFERROR(INDEX('Settings'!$L$10:$L$39,MATCH($H883,'Settings'!$I$10:$I$39,0)),0))</f>
        <v/>
      </c>
      <c r="R883" s="17">
        <f>IF($A883="","",$A883-WEEKDAY($A883,2)+1)</f>
        <v/>
      </c>
    </row>
    <row r="884">
      <c r="A884" s="5" t="n">
        <v>46277</v>
      </c>
      <c r="B884" s="4" t="inlineStr">
        <is>
          <t>North branch</t>
        </is>
      </c>
      <c r="C884" s="4" t="inlineStr">
        <is>
          <t>North 2</t>
        </is>
      </c>
      <c r="D884" s="4" t="inlineStr">
        <is>
          <t>Dr Khaled Youssef</t>
        </is>
      </c>
      <c r="E884" s="4" t="inlineStr">
        <is>
          <t>P-2106</t>
        </is>
      </c>
      <c r="F884" s="4" t="inlineStr">
        <is>
          <t>Returning</t>
        </is>
      </c>
      <c r="G884" s="4" t="inlineStr">
        <is>
          <t>Instagram</t>
        </is>
      </c>
      <c r="H884" s="4" t="inlineStr">
        <is>
          <t>Vitamin C serum</t>
        </is>
      </c>
      <c r="I884" s="9">
        <f>IF($H884="","",IFERROR(INDEX('Settings'!$J$10:$J$39,MATCH($H884,'Settings'!$I$10:$I$39,0)),""))</f>
        <v/>
      </c>
      <c r="J884" s="6" t="n">
        <v>2</v>
      </c>
      <c r="K884" s="8" t="n">
        <v>220</v>
      </c>
      <c r="L884" s="8" t="n"/>
      <c r="M884" s="14">
        <f>IF($A884="","",$J884*$K884)</f>
        <v/>
      </c>
      <c r="N884" s="14">
        <f>IF($A884="","",$M884-$L884)</f>
        <v/>
      </c>
      <c r="O884" s="4" t="inlineStr">
        <is>
          <t>Card</t>
        </is>
      </c>
      <c r="P884" s="15">
        <f>IF($A884="","",DATE(YEAR($A884),MONTH($A884),1))</f>
        <v/>
      </c>
      <c r="Q884" s="16">
        <f>IF($H884="","",$J884*IFERROR(INDEX('Settings'!$L$10:$L$39,MATCH($H884,'Settings'!$I$10:$I$39,0)),0))</f>
        <v/>
      </c>
      <c r="R884" s="17">
        <f>IF($A884="","",$A884-WEEKDAY($A884,2)+1)</f>
        <v/>
      </c>
    </row>
    <row r="885">
      <c r="A885" s="5" t="n">
        <v>46277</v>
      </c>
      <c r="B885" s="4" t="inlineStr">
        <is>
          <t>North branch</t>
        </is>
      </c>
      <c r="C885" s="4" t="inlineStr">
        <is>
          <t>North 2</t>
        </is>
      </c>
      <c r="D885" s="4" t="inlineStr">
        <is>
          <t>Dr Mohamed Adel</t>
        </is>
      </c>
      <c r="E885" s="4" t="inlineStr">
        <is>
          <t>P-2634</t>
        </is>
      </c>
      <c r="F885" s="4" t="inlineStr">
        <is>
          <t>Returning</t>
        </is>
      </c>
      <c r="G885" s="4" t="inlineStr">
        <is>
          <t>Instagram</t>
        </is>
      </c>
      <c r="H885" s="4" t="inlineStr">
        <is>
          <t>Specialist consultation</t>
        </is>
      </c>
      <c r="I885" s="9">
        <f>IF($H885="","",IFERROR(INDEX('Settings'!$J$10:$J$39,MATCH($H885,'Settings'!$I$10:$I$39,0)),""))</f>
        <v/>
      </c>
      <c r="J885" s="6" t="n">
        <v>1</v>
      </c>
      <c r="K885" s="8" t="n">
        <v>350</v>
      </c>
      <c r="L885" s="8" t="n"/>
      <c r="M885" s="14">
        <f>IF($A885="","",$J885*$K885)</f>
        <v/>
      </c>
      <c r="N885" s="14">
        <f>IF($A885="","",$M885-$L885)</f>
        <v/>
      </c>
      <c r="O885" s="4" t="inlineStr">
        <is>
          <t>Card</t>
        </is>
      </c>
      <c r="P885" s="15">
        <f>IF($A885="","",DATE(YEAR($A885),MONTH($A885),1))</f>
        <v/>
      </c>
      <c r="Q885" s="16">
        <f>IF($H885="","",$J885*IFERROR(INDEX('Settings'!$L$10:$L$39,MATCH($H885,'Settings'!$I$10:$I$39,0)),0))</f>
        <v/>
      </c>
      <c r="R885" s="17">
        <f>IF($A885="","",$A885-WEEKDAY($A885,2)+1)</f>
        <v/>
      </c>
    </row>
    <row r="886">
      <c r="A886" s="5" t="n">
        <v>46278</v>
      </c>
      <c r="B886" s="4" t="inlineStr">
        <is>
          <t>Main branch</t>
        </is>
      </c>
      <c r="C886" s="4" t="inlineStr">
        <is>
          <t>Main 1</t>
        </is>
      </c>
      <c r="D886" s="4" t="inlineStr">
        <is>
          <t>Dr Sara Al Harbi</t>
        </is>
      </c>
      <c r="E886" s="4" t="inlineStr">
        <is>
          <t>P-2453</t>
        </is>
      </c>
      <c r="F886" s="4" t="inlineStr">
        <is>
          <t>Returning</t>
        </is>
      </c>
      <c r="G886" s="4" t="inlineStr">
        <is>
          <t>Instagram</t>
        </is>
      </c>
      <c r="H886" s="4" t="inlineStr">
        <is>
          <t>Vitamin C serum</t>
        </is>
      </c>
      <c r="I886" s="9">
        <f>IF($H886="","",IFERROR(INDEX('Settings'!$J$10:$J$39,MATCH($H886,'Settings'!$I$10:$I$39,0)),""))</f>
        <v/>
      </c>
      <c r="J886" s="6" t="n">
        <v>1</v>
      </c>
      <c r="K886" s="8" t="n">
        <v>220</v>
      </c>
      <c r="L886" s="8" t="n"/>
      <c r="M886" s="14">
        <f>IF($A886="","",$J886*$K886)</f>
        <v/>
      </c>
      <c r="N886" s="14">
        <f>IF($A886="","",$M886-$L886)</f>
        <v/>
      </c>
      <c r="O886" s="4" t="inlineStr">
        <is>
          <t>Transfer</t>
        </is>
      </c>
      <c r="P886" s="15">
        <f>IF($A886="","",DATE(YEAR($A886),MONTH($A886),1))</f>
        <v/>
      </c>
      <c r="Q886" s="16">
        <f>IF($H886="","",$J886*IFERROR(INDEX('Settings'!$L$10:$L$39,MATCH($H886,'Settings'!$I$10:$I$39,0)),0))</f>
        <v/>
      </c>
      <c r="R886" s="17">
        <f>IF($A886="","",$A886-WEEKDAY($A886,2)+1)</f>
        <v/>
      </c>
    </row>
    <row r="887">
      <c r="A887" s="5" t="n">
        <v>46278</v>
      </c>
      <c r="B887" s="4" t="inlineStr">
        <is>
          <t>Main branch</t>
        </is>
      </c>
      <c r="C887" s="4" t="inlineStr">
        <is>
          <t>Main 1</t>
        </is>
      </c>
      <c r="D887" s="4" t="inlineStr">
        <is>
          <t>Dr Ahmed Mansour</t>
        </is>
      </c>
      <c r="E887" s="4" t="inlineStr">
        <is>
          <t>P-3441</t>
        </is>
      </c>
      <c r="F887" s="4" t="inlineStr">
        <is>
          <t>Returning</t>
        </is>
      </c>
      <c r="G887" s="4" t="inlineStr">
        <is>
          <t>Walk-in</t>
        </is>
      </c>
      <c r="H887" s="4" t="inlineStr">
        <is>
          <t>Follow-up visit</t>
        </is>
      </c>
      <c r="I887" s="9">
        <f>IF($H887="","",IFERROR(INDEX('Settings'!$J$10:$J$39,MATCH($H887,'Settings'!$I$10:$I$39,0)),""))</f>
        <v/>
      </c>
      <c r="J887" s="6" t="n">
        <v>1</v>
      </c>
      <c r="K887" s="8" t="n">
        <v>150</v>
      </c>
      <c r="L887" s="8" t="n"/>
      <c r="M887" s="14">
        <f>IF($A887="","",$J887*$K887)</f>
        <v/>
      </c>
      <c r="N887" s="14">
        <f>IF($A887="","",$M887-$L887)</f>
        <v/>
      </c>
      <c r="O887" s="4" t="inlineStr">
        <is>
          <t>Card</t>
        </is>
      </c>
      <c r="P887" s="15">
        <f>IF($A887="","",DATE(YEAR($A887),MONTH($A887),1))</f>
        <v/>
      </c>
      <c r="Q887" s="16">
        <f>IF($H887="","",$J887*IFERROR(INDEX('Settings'!$L$10:$L$39,MATCH($H887,'Settings'!$I$10:$I$39,0)),0))</f>
        <v/>
      </c>
      <c r="R887" s="17">
        <f>IF($A887="","",$A887-WEEKDAY($A887,2)+1)</f>
        <v/>
      </c>
    </row>
    <row r="888">
      <c r="A888" s="5" t="n">
        <v>46278</v>
      </c>
      <c r="B888" s="4" t="inlineStr">
        <is>
          <t>Main branch</t>
        </is>
      </c>
      <c r="C888" s="4" t="inlineStr">
        <is>
          <t>Main 1</t>
        </is>
      </c>
      <c r="D888" s="4" t="inlineStr">
        <is>
          <t>Dr Sara Al Harbi</t>
        </is>
      </c>
      <c r="E888" s="4" t="inlineStr">
        <is>
          <t>P-3470</t>
        </is>
      </c>
      <c r="F888" s="4" t="inlineStr">
        <is>
          <t>Returning</t>
        </is>
      </c>
      <c r="G888" s="4" t="inlineStr">
        <is>
          <t>Referral</t>
        </is>
      </c>
      <c r="H888" s="4" t="inlineStr">
        <is>
          <t>Physiotherapy session</t>
        </is>
      </c>
      <c r="I888" s="9">
        <f>IF($H888="","",IFERROR(INDEX('Settings'!$J$10:$J$39,MATCH($H888,'Settings'!$I$10:$I$39,0)),""))</f>
        <v/>
      </c>
      <c r="J888" s="6" t="n">
        <v>1</v>
      </c>
      <c r="K888" s="8" t="n">
        <v>300</v>
      </c>
      <c r="L888" s="8" t="n"/>
      <c r="M888" s="14">
        <f>IF($A888="","",$J888*$K888)</f>
        <v/>
      </c>
      <c r="N888" s="14">
        <f>IF($A888="","",$M888-$L888)</f>
        <v/>
      </c>
      <c r="O888" s="4" t="inlineStr">
        <is>
          <t>Cash</t>
        </is>
      </c>
      <c r="P888" s="15">
        <f>IF($A888="","",DATE(YEAR($A888),MONTH($A888),1))</f>
        <v/>
      </c>
      <c r="Q888" s="16">
        <f>IF($H888="","",$J888*IFERROR(INDEX('Settings'!$L$10:$L$39,MATCH($H888,'Settings'!$I$10:$I$39,0)),0))</f>
        <v/>
      </c>
      <c r="R888" s="17">
        <f>IF($A888="","",$A888-WEEKDAY($A888,2)+1)</f>
        <v/>
      </c>
    </row>
    <row r="889">
      <c r="A889" s="5" t="n">
        <v>46278</v>
      </c>
      <c r="B889" s="4" t="inlineStr">
        <is>
          <t>Main branch</t>
        </is>
      </c>
      <c r="C889" s="4" t="inlineStr">
        <is>
          <t>Main 3</t>
        </is>
      </c>
      <c r="D889" s="4" t="inlineStr">
        <is>
          <t>Dr Sara Al Harbi</t>
        </is>
      </c>
      <c r="E889" s="4" t="inlineStr">
        <is>
          <t>P-3126</t>
        </is>
      </c>
      <c r="F889" s="4" t="inlineStr">
        <is>
          <t>Returning</t>
        </is>
      </c>
      <c r="G889" s="4" t="inlineStr">
        <is>
          <t>Walk-in</t>
        </is>
      </c>
      <c r="H889" s="4" t="inlineStr">
        <is>
          <t>Physiotherapy session</t>
        </is>
      </c>
      <c r="I889" s="9">
        <f>IF($H889="","",IFERROR(INDEX('Settings'!$J$10:$J$39,MATCH($H889,'Settings'!$I$10:$I$39,0)),""))</f>
        <v/>
      </c>
      <c r="J889" s="6" t="n">
        <v>1</v>
      </c>
      <c r="K889" s="8" t="n">
        <v>300</v>
      </c>
      <c r="L889" s="8" t="n"/>
      <c r="M889" s="14">
        <f>IF($A889="","",$J889*$K889)</f>
        <v/>
      </c>
      <c r="N889" s="14">
        <f>IF($A889="","",$M889-$L889)</f>
        <v/>
      </c>
      <c r="O889" s="4" t="inlineStr">
        <is>
          <t>Card</t>
        </is>
      </c>
      <c r="P889" s="15">
        <f>IF($A889="","",DATE(YEAR($A889),MONTH($A889),1))</f>
        <v/>
      </c>
      <c r="Q889" s="16">
        <f>IF($H889="","",$J889*IFERROR(INDEX('Settings'!$L$10:$L$39,MATCH($H889,'Settings'!$I$10:$I$39,0)),0))</f>
        <v/>
      </c>
      <c r="R889" s="17">
        <f>IF($A889="","",$A889-WEEKDAY($A889,2)+1)</f>
        <v/>
      </c>
    </row>
    <row r="890">
      <c r="A890" s="5" t="n">
        <v>46278</v>
      </c>
      <c r="B890" s="4" t="inlineStr">
        <is>
          <t>Main branch</t>
        </is>
      </c>
      <c r="C890" s="4" t="inlineStr">
        <is>
          <t>Main 3</t>
        </is>
      </c>
      <c r="D890" s="4" t="inlineStr">
        <is>
          <t>Dr Sara Al Harbi</t>
        </is>
      </c>
      <c r="E890" s="4" t="inlineStr">
        <is>
          <t>P-3031</t>
        </is>
      </c>
      <c r="F890" s="4" t="inlineStr">
        <is>
          <t>Returning</t>
        </is>
      </c>
      <c r="G890" s="4" t="inlineStr">
        <is>
          <t>WhatsApp</t>
        </is>
      </c>
      <c r="H890" s="4" t="inlineStr">
        <is>
          <t>Sunscreen cream</t>
        </is>
      </c>
      <c r="I890" s="9">
        <f>IF($H890="","",IFERROR(INDEX('Settings'!$J$10:$J$39,MATCH($H890,'Settings'!$I$10:$I$39,0)),""))</f>
        <v/>
      </c>
      <c r="J890" s="6" t="n">
        <v>1</v>
      </c>
      <c r="K890" s="8" t="n">
        <v>120</v>
      </c>
      <c r="L890" s="8" t="n"/>
      <c r="M890" s="14">
        <f>IF($A890="","",$J890*$K890)</f>
        <v/>
      </c>
      <c r="N890" s="14">
        <f>IF($A890="","",$M890-$L890)</f>
        <v/>
      </c>
      <c r="O890" s="4" t="inlineStr">
        <is>
          <t>Insurance</t>
        </is>
      </c>
      <c r="P890" s="15">
        <f>IF($A890="","",DATE(YEAR($A890),MONTH($A890),1))</f>
        <v/>
      </c>
      <c r="Q890" s="16">
        <f>IF($H890="","",$J890*IFERROR(INDEX('Settings'!$L$10:$L$39,MATCH($H890,'Settings'!$I$10:$I$39,0)),0))</f>
        <v/>
      </c>
      <c r="R890" s="17">
        <f>IF($A890="","",$A890-WEEKDAY($A890,2)+1)</f>
        <v/>
      </c>
    </row>
    <row r="891">
      <c r="A891" s="5" t="n">
        <v>46278</v>
      </c>
      <c r="B891" s="4" t="inlineStr">
        <is>
          <t>Main branch</t>
        </is>
      </c>
      <c r="C891" s="4" t="inlineStr">
        <is>
          <t>Main 3</t>
        </is>
      </c>
      <c r="D891" s="4" t="inlineStr">
        <is>
          <t>Dr Sara Al Harbi</t>
        </is>
      </c>
      <c r="E891" s="4" t="inlineStr">
        <is>
          <t>P-2230</t>
        </is>
      </c>
      <c r="F891" s="4" t="inlineStr">
        <is>
          <t>Returning</t>
        </is>
      </c>
      <c r="G891" s="4" t="inlineStr">
        <is>
          <t>WhatsApp</t>
        </is>
      </c>
      <c r="H891" s="4" t="inlineStr">
        <is>
          <t>Botulinum toxin</t>
        </is>
      </c>
      <c r="I891" s="9">
        <f>IF($H891="","",IFERROR(INDEX('Settings'!$J$10:$J$39,MATCH($H891,'Settings'!$I$10:$I$39,0)),""))</f>
        <v/>
      </c>
      <c r="J891" s="6" t="n">
        <v>1</v>
      </c>
      <c r="K891" s="8" t="n">
        <v>1500</v>
      </c>
      <c r="L891" s="8" t="n"/>
      <c r="M891" s="14">
        <f>IF($A891="","",$J891*$K891)</f>
        <v/>
      </c>
      <c r="N891" s="14">
        <f>IF($A891="","",$M891-$L891)</f>
        <v/>
      </c>
      <c r="O891" s="4" t="inlineStr">
        <is>
          <t>Card</t>
        </is>
      </c>
      <c r="P891" s="15">
        <f>IF($A891="","",DATE(YEAR($A891),MONTH($A891),1))</f>
        <v/>
      </c>
      <c r="Q891" s="16">
        <f>IF($H891="","",$J891*IFERROR(INDEX('Settings'!$L$10:$L$39,MATCH($H891,'Settings'!$I$10:$I$39,0)),0))</f>
        <v/>
      </c>
      <c r="R891" s="17">
        <f>IF($A891="","",$A891-WEEKDAY($A891,2)+1)</f>
        <v/>
      </c>
    </row>
    <row r="892">
      <c r="A892" s="5" t="n">
        <v>46278</v>
      </c>
      <c r="B892" s="4" t="inlineStr">
        <is>
          <t>Main branch</t>
        </is>
      </c>
      <c r="C892" s="4" t="inlineStr">
        <is>
          <t>Main 4</t>
        </is>
      </c>
      <c r="D892" s="4" t="inlineStr">
        <is>
          <t>Dr Sara Al Harbi</t>
        </is>
      </c>
      <c r="E892" s="4" t="inlineStr">
        <is>
          <t>P-3053</t>
        </is>
      </c>
      <c r="F892" s="4" t="inlineStr">
        <is>
          <t>Returning</t>
        </is>
      </c>
      <c r="G892" s="4" t="inlineStr">
        <is>
          <t>Instagram</t>
        </is>
      </c>
      <c r="H892" s="4" t="inlineStr">
        <is>
          <t>Botulinum toxin</t>
        </is>
      </c>
      <c r="I892" s="9">
        <f>IF($H892="","",IFERROR(INDEX('Settings'!$J$10:$J$39,MATCH($H892,'Settings'!$I$10:$I$39,0)),""))</f>
        <v/>
      </c>
      <c r="J892" s="6" t="n">
        <v>1</v>
      </c>
      <c r="K892" s="8" t="n">
        <v>1500</v>
      </c>
      <c r="L892" s="8" t="n"/>
      <c r="M892" s="14">
        <f>IF($A892="","",$J892*$K892)</f>
        <v/>
      </c>
      <c r="N892" s="14">
        <f>IF($A892="","",$M892-$L892)</f>
        <v/>
      </c>
      <c r="O892" s="4" t="inlineStr">
        <is>
          <t>Card</t>
        </is>
      </c>
      <c r="P892" s="15">
        <f>IF($A892="","",DATE(YEAR($A892),MONTH($A892),1))</f>
        <v/>
      </c>
      <c r="Q892" s="16">
        <f>IF($H892="","",$J892*IFERROR(INDEX('Settings'!$L$10:$L$39,MATCH($H892,'Settings'!$I$10:$I$39,0)),0))</f>
        <v/>
      </c>
      <c r="R892" s="17">
        <f>IF($A892="","",$A892-WEEKDAY($A892,2)+1)</f>
        <v/>
      </c>
    </row>
    <row r="893">
      <c r="A893" s="5" t="n">
        <v>46278</v>
      </c>
      <c r="B893" s="4" t="inlineStr">
        <is>
          <t>North branch</t>
        </is>
      </c>
      <c r="C893" s="4" t="inlineStr">
        <is>
          <t>North 1</t>
        </is>
      </c>
      <c r="D893" s="4" t="inlineStr">
        <is>
          <t>Dr Khaled Youssef</t>
        </is>
      </c>
      <c r="E893" s="4" t="inlineStr">
        <is>
          <t>P-3414</t>
        </is>
      </c>
      <c r="F893" s="4" t="inlineStr">
        <is>
          <t>New</t>
        </is>
      </c>
      <c r="G893" s="4" t="inlineStr">
        <is>
          <t>Instagram</t>
        </is>
      </c>
      <c r="H893" s="4" t="inlineStr">
        <is>
          <t>Filler injection</t>
        </is>
      </c>
      <c r="I893" s="9">
        <f>IF($H893="","",IFERROR(INDEX('Settings'!$J$10:$J$39,MATCH($H893,'Settings'!$I$10:$I$39,0)),""))</f>
        <v/>
      </c>
      <c r="J893" s="6" t="n">
        <v>1</v>
      </c>
      <c r="K893" s="8" t="n">
        <v>1800</v>
      </c>
      <c r="L893" s="8" t="n"/>
      <c r="M893" s="14">
        <f>IF($A893="","",$J893*$K893)</f>
        <v/>
      </c>
      <c r="N893" s="14">
        <f>IF($A893="","",$M893-$L893)</f>
        <v/>
      </c>
      <c r="O893" s="4" t="inlineStr">
        <is>
          <t>Insurance</t>
        </is>
      </c>
      <c r="P893" s="15">
        <f>IF($A893="","",DATE(YEAR($A893),MONTH($A893),1))</f>
        <v/>
      </c>
      <c r="Q893" s="16">
        <f>IF($H893="","",$J893*IFERROR(INDEX('Settings'!$L$10:$L$39,MATCH($H893,'Settings'!$I$10:$I$39,0)),0))</f>
        <v/>
      </c>
      <c r="R893" s="17">
        <f>IF($A893="","",$A893-WEEKDAY($A893,2)+1)</f>
        <v/>
      </c>
    </row>
    <row r="894">
      <c r="A894" s="5" t="n">
        <v>46278</v>
      </c>
      <c r="B894" s="4" t="inlineStr">
        <is>
          <t>North branch</t>
        </is>
      </c>
      <c r="C894" s="4" t="inlineStr">
        <is>
          <t>North 1</t>
        </is>
      </c>
      <c r="D894" s="4" t="inlineStr">
        <is>
          <t>Dr Layla Al Qahtani</t>
        </is>
      </c>
      <c r="E894" s="4" t="inlineStr">
        <is>
          <t>P-2297</t>
        </is>
      </c>
      <c r="F894" s="4" t="inlineStr">
        <is>
          <t>Returning</t>
        </is>
      </c>
      <c r="G894" s="4" t="inlineStr">
        <is>
          <t>Referral</t>
        </is>
      </c>
      <c r="H894" s="4" t="inlineStr">
        <is>
          <t>Botulinum toxin</t>
        </is>
      </c>
      <c r="I894" s="9">
        <f>IF($H894="","",IFERROR(INDEX('Settings'!$J$10:$J$39,MATCH($H894,'Settings'!$I$10:$I$39,0)),""))</f>
        <v/>
      </c>
      <c r="J894" s="6" t="n">
        <v>1</v>
      </c>
      <c r="K894" s="8" t="n">
        <v>1500</v>
      </c>
      <c r="L894" s="8" t="n"/>
      <c r="M894" s="14">
        <f>IF($A894="","",$J894*$K894)</f>
        <v/>
      </c>
      <c r="N894" s="14">
        <f>IF($A894="","",$M894-$L894)</f>
        <v/>
      </c>
      <c r="O894" s="4" t="inlineStr">
        <is>
          <t>Insurance</t>
        </is>
      </c>
      <c r="P894" s="15">
        <f>IF($A894="","",DATE(YEAR($A894),MONTH($A894),1))</f>
        <v/>
      </c>
      <c r="Q894" s="16">
        <f>IF($H894="","",$J894*IFERROR(INDEX('Settings'!$L$10:$L$39,MATCH($H894,'Settings'!$I$10:$I$39,0)),0))</f>
        <v/>
      </c>
      <c r="R894" s="17">
        <f>IF($A894="","",$A894-WEEKDAY($A894,2)+1)</f>
        <v/>
      </c>
    </row>
    <row r="895">
      <c r="A895" s="5" t="n">
        <v>46278</v>
      </c>
      <c r="B895" s="4" t="inlineStr">
        <is>
          <t>North branch</t>
        </is>
      </c>
      <c r="C895" s="4" t="inlineStr">
        <is>
          <t>North 1</t>
        </is>
      </c>
      <c r="D895" s="4" t="inlineStr">
        <is>
          <t>Dr Khaled Youssef</t>
        </is>
      </c>
      <c r="E895" s="4" t="inlineStr">
        <is>
          <t>P-3367</t>
        </is>
      </c>
      <c r="F895" s="4" t="inlineStr">
        <is>
          <t>Returning</t>
        </is>
      </c>
      <c r="G895" s="4" t="inlineStr">
        <is>
          <t>Instagram</t>
        </is>
      </c>
      <c r="H895" s="4" t="inlineStr">
        <is>
          <t>Laser session, face</t>
        </is>
      </c>
      <c r="I895" s="9">
        <f>IF($H895="","",IFERROR(INDEX('Settings'!$J$10:$J$39,MATCH($H895,'Settings'!$I$10:$I$39,0)),""))</f>
        <v/>
      </c>
      <c r="J895" s="6" t="n">
        <v>1</v>
      </c>
      <c r="K895" s="8" t="n">
        <v>600</v>
      </c>
      <c r="L895" s="8" t="n">
        <v>120</v>
      </c>
      <c r="M895" s="14">
        <f>IF($A895="","",$J895*$K895)</f>
        <v/>
      </c>
      <c r="N895" s="14">
        <f>IF($A895="","",$M895-$L895)</f>
        <v/>
      </c>
      <c r="O895" s="4" t="inlineStr">
        <is>
          <t>Payment link</t>
        </is>
      </c>
      <c r="P895" s="15">
        <f>IF($A895="","",DATE(YEAR($A895),MONTH($A895),1))</f>
        <v/>
      </c>
      <c r="Q895" s="16">
        <f>IF($H895="","",$J895*IFERROR(INDEX('Settings'!$L$10:$L$39,MATCH($H895,'Settings'!$I$10:$I$39,0)),0))</f>
        <v/>
      </c>
      <c r="R895" s="17">
        <f>IF($A895="","",$A895-WEEKDAY($A895,2)+1)</f>
        <v/>
      </c>
    </row>
    <row r="896">
      <c r="A896" s="5" t="n">
        <v>46278</v>
      </c>
      <c r="B896" s="4" t="inlineStr">
        <is>
          <t>North branch</t>
        </is>
      </c>
      <c r="C896" s="4" t="inlineStr">
        <is>
          <t>North 2</t>
        </is>
      </c>
      <c r="D896" s="4" t="inlineStr">
        <is>
          <t>Dr Khaled Youssef</t>
        </is>
      </c>
      <c r="E896" s="4" t="inlineStr">
        <is>
          <t>P-2239</t>
        </is>
      </c>
      <c r="F896" s="4" t="inlineStr">
        <is>
          <t>Returning</t>
        </is>
      </c>
      <c r="G896" s="4" t="inlineStr">
        <is>
          <t>Instagram</t>
        </is>
      </c>
      <c r="H896" s="4" t="inlineStr">
        <is>
          <t>Facial cleansing</t>
        </is>
      </c>
      <c r="I896" s="9">
        <f>IF($H896="","",IFERROR(INDEX('Settings'!$J$10:$J$39,MATCH($H896,'Settings'!$I$10:$I$39,0)),""))</f>
        <v/>
      </c>
      <c r="J896" s="6" t="n">
        <v>1</v>
      </c>
      <c r="K896" s="8" t="n">
        <v>400</v>
      </c>
      <c r="L896" s="8" t="n"/>
      <c r="M896" s="14">
        <f>IF($A896="","",$J896*$K896)</f>
        <v/>
      </c>
      <c r="N896" s="14">
        <f>IF($A896="","",$M896-$L896)</f>
        <v/>
      </c>
      <c r="O896" s="4" t="inlineStr">
        <is>
          <t>Card</t>
        </is>
      </c>
      <c r="P896" s="15">
        <f>IF($A896="","",DATE(YEAR($A896),MONTH($A896),1))</f>
        <v/>
      </c>
      <c r="Q896" s="16">
        <f>IF($H896="","",$J896*IFERROR(INDEX('Settings'!$L$10:$L$39,MATCH($H896,'Settings'!$I$10:$I$39,0)),0))</f>
        <v/>
      </c>
      <c r="R896" s="17">
        <f>IF($A896="","",$A896-WEEKDAY($A896,2)+1)</f>
        <v/>
      </c>
    </row>
    <row r="897">
      <c r="A897" s="5" t="n">
        <v>46279</v>
      </c>
      <c r="B897" s="4" t="inlineStr">
        <is>
          <t>Main branch</t>
        </is>
      </c>
      <c r="C897" s="4" t="inlineStr">
        <is>
          <t>Main 1</t>
        </is>
      </c>
      <c r="D897" s="4" t="inlineStr">
        <is>
          <t>Dr Ahmed Mansour</t>
        </is>
      </c>
      <c r="E897" s="4" t="inlineStr">
        <is>
          <t>P-2697</t>
        </is>
      </c>
      <c r="F897" s="4" t="inlineStr">
        <is>
          <t>Returning</t>
        </is>
      </c>
      <c r="G897" s="4" t="inlineStr">
        <is>
          <t>Walk-in</t>
        </is>
      </c>
      <c r="H897" s="4" t="inlineStr">
        <is>
          <t>Chemical peel</t>
        </is>
      </c>
      <c r="I897" s="9">
        <f>IF($H897="","",IFERROR(INDEX('Settings'!$J$10:$J$39,MATCH($H897,'Settings'!$I$10:$I$39,0)),""))</f>
        <v/>
      </c>
      <c r="J897" s="6" t="n">
        <v>1</v>
      </c>
      <c r="K897" s="8" t="n">
        <v>800</v>
      </c>
      <c r="L897" s="8" t="n">
        <v>40</v>
      </c>
      <c r="M897" s="14">
        <f>IF($A897="","",$J897*$K897)</f>
        <v/>
      </c>
      <c r="N897" s="14">
        <f>IF($A897="","",$M897-$L897)</f>
        <v/>
      </c>
      <c r="O897" s="4" t="inlineStr">
        <is>
          <t>Insurance</t>
        </is>
      </c>
      <c r="P897" s="15">
        <f>IF($A897="","",DATE(YEAR($A897),MONTH($A897),1))</f>
        <v/>
      </c>
      <c r="Q897" s="16">
        <f>IF($H897="","",$J897*IFERROR(INDEX('Settings'!$L$10:$L$39,MATCH($H897,'Settings'!$I$10:$I$39,0)),0))</f>
        <v/>
      </c>
      <c r="R897" s="17">
        <f>IF($A897="","",$A897-WEEKDAY($A897,2)+1)</f>
        <v/>
      </c>
    </row>
    <row r="898">
      <c r="A898" s="5" t="n">
        <v>46279</v>
      </c>
      <c r="B898" s="4" t="inlineStr">
        <is>
          <t>Main branch</t>
        </is>
      </c>
      <c r="C898" s="4" t="inlineStr">
        <is>
          <t>Main 1</t>
        </is>
      </c>
      <c r="D898" s="4" t="inlineStr">
        <is>
          <t>Dr Sara Al Harbi</t>
        </is>
      </c>
      <c r="E898" s="4" t="inlineStr">
        <is>
          <t>P-3380</t>
        </is>
      </c>
      <c r="F898" s="4" t="inlineStr">
        <is>
          <t>Returning</t>
        </is>
      </c>
      <c r="G898" s="4" t="inlineStr">
        <is>
          <t>Instagram</t>
        </is>
      </c>
      <c r="H898" s="4" t="inlineStr">
        <is>
          <t>Sunscreen cream</t>
        </is>
      </c>
      <c r="I898" s="9">
        <f>IF($H898="","",IFERROR(INDEX('Settings'!$J$10:$J$39,MATCH($H898,'Settings'!$I$10:$I$39,0)),""))</f>
        <v/>
      </c>
      <c r="J898" s="6" t="n">
        <v>1</v>
      </c>
      <c r="K898" s="8" t="n">
        <v>120</v>
      </c>
      <c r="L898" s="8" t="n"/>
      <c r="M898" s="14">
        <f>IF($A898="","",$J898*$K898)</f>
        <v/>
      </c>
      <c r="N898" s="14">
        <f>IF($A898="","",$M898-$L898)</f>
        <v/>
      </c>
      <c r="O898" s="4" t="inlineStr">
        <is>
          <t>Cash</t>
        </is>
      </c>
      <c r="P898" s="15">
        <f>IF($A898="","",DATE(YEAR($A898),MONTH($A898),1))</f>
        <v/>
      </c>
      <c r="Q898" s="16">
        <f>IF($H898="","",$J898*IFERROR(INDEX('Settings'!$L$10:$L$39,MATCH($H898,'Settings'!$I$10:$I$39,0)),0))</f>
        <v/>
      </c>
      <c r="R898" s="17">
        <f>IF($A898="","",$A898-WEEKDAY($A898,2)+1)</f>
        <v/>
      </c>
    </row>
    <row r="899">
      <c r="A899" s="5" t="n">
        <v>46279</v>
      </c>
      <c r="B899" s="4" t="inlineStr">
        <is>
          <t>Main branch</t>
        </is>
      </c>
      <c r="C899" s="4" t="inlineStr">
        <is>
          <t>Main 2</t>
        </is>
      </c>
      <c r="D899" s="4" t="inlineStr">
        <is>
          <t>Dr Ahmed Mansour</t>
        </is>
      </c>
      <c r="E899" s="4" t="inlineStr">
        <is>
          <t>P-2690</t>
        </is>
      </c>
      <c r="F899" s="4" t="inlineStr">
        <is>
          <t>New</t>
        </is>
      </c>
      <c r="G899" s="4" t="inlineStr">
        <is>
          <t>Instagram</t>
        </is>
      </c>
      <c r="H899" s="4" t="inlineStr">
        <is>
          <t>Laser session, face</t>
        </is>
      </c>
      <c r="I899" s="9">
        <f>IF($H899="","",IFERROR(INDEX('Settings'!$J$10:$J$39,MATCH($H899,'Settings'!$I$10:$I$39,0)),""))</f>
        <v/>
      </c>
      <c r="J899" s="6" t="n">
        <v>1</v>
      </c>
      <c r="K899" s="8" t="n">
        <v>600</v>
      </c>
      <c r="L899" s="8" t="n">
        <v>120</v>
      </c>
      <c r="M899" s="14">
        <f>IF($A899="","",$J899*$K899)</f>
        <v/>
      </c>
      <c r="N899" s="14">
        <f>IF($A899="","",$M899-$L899)</f>
        <v/>
      </c>
      <c r="O899" s="4" t="inlineStr">
        <is>
          <t>Card</t>
        </is>
      </c>
      <c r="P899" s="15">
        <f>IF($A899="","",DATE(YEAR($A899),MONTH($A899),1))</f>
        <v/>
      </c>
      <c r="Q899" s="16">
        <f>IF($H899="","",$J899*IFERROR(INDEX('Settings'!$L$10:$L$39,MATCH($H899,'Settings'!$I$10:$I$39,0)),0))</f>
        <v/>
      </c>
      <c r="R899" s="17">
        <f>IF($A899="","",$A899-WEEKDAY($A899,2)+1)</f>
        <v/>
      </c>
    </row>
    <row r="900">
      <c r="A900" s="5" t="n">
        <v>46279</v>
      </c>
      <c r="B900" s="4" t="inlineStr">
        <is>
          <t>Main branch</t>
        </is>
      </c>
      <c r="C900" s="4" t="inlineStr">
        <is>
          <t>Main 4</t>
        </is>
      </c>
      <c r="D900" s="4" t="inlineStr">
        <is>
          <t>Dr Sara Al Harbi</t>
        </is>
      </c>
      <c r="E900" s="4" t="inlineStr">
        <is>
          <t>P-2236</t>
        </is>
      </c>
      <c r="F900" s="4" t="inlineStr">
        <is>
          <t>Returning</t>
        </is>
      </c>
      <c r="G900" s="4" t="inlineStr">
        <is>
          <t>Walk-in</t>
        </is>
      </c>
      <c r="H900" s="4" t="inlineStr">
        <is>
          <t>Laser session, face</t>
        </is>
      </c>
      <c r="I900" s="9">
        <f>IF($H900="","",IFERROR(INDEX('Settings'!$J$10:$J$39,MATCH($H900,'Settings'!$I$10:$I$39,0)),""))</f>
        <v/>
      </c>
      <c r="J900" s="6" t="n">
        <v>1</v>
      </c>
      <c r="K900" s="8" t="n">
        <v>600</v>
      </c>
      <c r="L900" s="8" t="n">
        <v>120</v>
      </c>
      <c r="M900" s="14">
        <f>IF($A900="","",$J900*$K900)</f>
        <v/>
      </c>
      <c r="N900" s="14">
        <f>IF($A900="","",$M900-$L900)</f>
        <v/>
      </c>
      <c r="O900" s="4" t="inlineStr">
        <is>
          <t>Cash</t>
        </is>
      </c>
      <c r="P900" s="15">
        <f>IF($A900="","",DATE(YEAR($A900),MONTH($A900),1))</f>
        <v/>
      </c>
      <c r="Q900" s="16">
        <f>IF($H900="","",$J900*IFERROR(INDEX('Settings'!$L$10:$L$39,MATCH($H900,'Settings'!$I$10:$I$39,0)),0))</f>
        <v/>
      </c>
      <c r="R900" s="17">
        <f>IF($A900="","",$A900-WEEKDAY($A900,2)+1)</f>
        <v/>
      </c>
    </row>
    <row r="901">
      <c r="A901" s="5" t="n">
        <v>46279</v>
      </c>
      <c r="B901" s="4" t="inlineStr">
        <is>
          <t>North branch</t>
        </is>
      </c>
      <c r="C901" s="4" t="inlineStr">
        <is>
          <t>North 1</t>
        </is>
      </c>
      <c r="D901" s="4" t="inlineStr">
        <is>
          <t>Dr Layla Al Qahtani</t>
        </is>
      </c>
      <c r="E901" s="4" t="inlineStr">
        <is>
          <t>P-2909</t>
        </is>
      </c>
      <c r="F901" s="4" t="inlineStr">
        <is>
          <t>Returning</t>
        </is>
      </c>
      <c r="G901" s="4" t="inlineStr">
        <is>
          <t>Google</t>
        </is>
      </c>
      <c r="H901" s="4" t="inlineStr">
        <is>
          <t>Laser session, face</t>
        </is>
      </c>
      <c r="I901" s="9">
        <f>IF($H901="","",IFERROR(INDEX('Settings'!$J$10:$J$39,MATCH($H901,'Settings'!$I$10:$I$39,0)),""))</f>
        <v/>
      </c>
      <c r="J901" s="6" t="n">
        <v>1</v>
      </c>
      <c r="K901" s="8" t="n">
        <v>600</v>
      </c>
      <c r="L901" s="8" t="n"/>
      <c r="M901" s="14">
        <f>IF($A901="","",$J901*$K901)</f>
        <v/>
      </c>
      <c r="N901" s="14">
        <f>IF($A901="","",$M901-$L901)</f>
        <v/>
      </c>
      <c r="O901" s="4" t="inlineStr">
        <is>
          <t>Payment link</t>
        </is>
      </c>
      <c r="P901" s="15">
        <f>IF($A901="","",DATE(YEAR($A901),MONTH($A901),1))</f>
        <v/>
      </c>
      <c r="Q901" s="16">
        <f>IF($H901="","",$J901*IFERROR(INDEX('Settings'!$L$10:$L$39,MATCH($H901,'Settings'!$I$10:$I$39,0)),0))</f>
        <v/>
      </c>
      <c r="R901" s="17">
        <f>IF($A901="","",$A901-WEEKDAY($A901,2)+1)</f>
        <v/>
      </c>
    </row>
    <row r="902">
      <c r="A902" s="5" t="n">
        <v>46279</v>
      </c>
      <c r="B902" s="4" t="inlineStr">
        <is>
          <t>North branch</t>
        </is>
      </c>
      <c r="C902" s="4" t="inlineStr">
        <is>
          <t>North 1</t>
        </is>
      </c>
      <c r="D902" s="4" t="inlineStr">
        <is>
          <t>Dr Khaled Youssef</t>
        </is>
      </c>
      <c r="E902" s="4" t="inlineStr">
        <is>
          <t>P-2941</t>
        </is>
      </c>
      <c r="F902" s="4" t="inlineStr">
        <is>
          <t>Returning</t>
        </is>
      </c>
      <c r="G902" s="4" t="inlineStr">
        <is>
          <t>Instagram</t>
        </is>
      </c>
      <c r="H902" s="4" t="inlineStr">
        <is>
          <t>Skin tag removal</t>
        </is>
      </c>
      <c r="I902" s="9">
        <f>IF($H902="","",IFERROR(INDEX('Settings'!$J$10:$J$39,MATCH($H902,'Settings'!$I$10:$I$39,0)),""))</f>
        <v/>
      </c>
      <c r="J902" s="6" t="n">
        <v>1</v>
      </c>
      <c r="K902" s="8" t="n">
        <v>500</v>
      </c>
      <c r="L902" s="8" t="n"/>
      <c r="M902" s="14">
        <f>IF($A902="","",$J902*$K902)</f>
        <v/>
      </c>
      <c r="N902" s="14">
        <f>IF($A902="","",$M902-$L902)</f>
        <v/>
      </c>
      <c r="O902" s="4" t="inlineStr">
        <is>
          <t>Cash</t>
        </is>
      </c>
      <c r="P902" s="15">
        <f>IF($A902="","",DATE(YEAR($A902),MONTH($A902),1))</f>
        <v/>
      </c>
      <c r="Q902" s="16">
        <f>IF($H902="","",$J902*IFERROR(INDEX('Settings'!$L$10:$L$39,MATCH($H902,'Settings'!$I$10:$I$39,0)),0))</f>
        <v/>
      </c>
      <c r="R902" s="17">
        <f>IF($A902="","",$A902-WEEKDAY($A902,2)+1)</f>
        <v/>
      </c>
    </row>
    <row r="903">
      <c r="A903" s="5" t="n">
        <v>46279</v>
      </c>
      <c r="B903" s="4" t="inlineStr">
        <is>
          <t>North branch</t>
        </is>
      </c>
      <c r="C903" s="4" t="inlineStr">
        <is>
          <t>North 1</t>
        </is>
      </c>
      <c r="D903" s="4" t="inlineStr">
        <is>
          <t>Dr Khaled Youssef</t>
        </is>
      </c>
      <c r="E903" s="4" t="inlineStr">
        <is>
          <t>P-2101</t>
        </is>
      </c>
      <c r="F903" s="4" t="inlineStr">
        <is>
          <t>Returning</t>
        </is>
      </c>
      <c r="G903" s="4" t="inlineStr">
        <is>
          <t>WhatsApp</t>
        </is>
      </c>
      <c r="H903" s="4" t="inlineStr">
        <is>
          <t>Botulinum toxin</t>
        </is>
      </c>
      <c r="I903" s="9">
        <f>IF($H903="","",IFERROR(INDEX('Settings'!$J$10:$J$39,MATCH($H903,'Settings'!$I$10:$I$39,0)),""))</f>
        <v/>
      </c>
      <c r="J903" s="6" t="n">
        <v>1</v>
      </c>
      <c r="K903" s="8" t="n">
        <v>1500</v>
      </c>
      <c r="L903" s="8" t="n"/>
      <c r="M903" s="14">
        <f>IF($A903="","",$J903*$K903)</f>
        <v/>
      </c>
      <c r="N903" s="14">
        <f>IF($A903="","",$M903-$L903)</f>
        <v/>
      </c>
      <c r="O903" s="4" t="inlineStr">
        <is>
          <t>Card</t>
        </is>
      </c>
      <c r="P903" s="15">
        <f>IF($A903="","",DATE(YEAR($A903),MONTH($A903),1))</f>
        <v/>
      </c>
      <c r="Q903" s="16">
        <f>IF($H903="","",$J903*IFERROR(INDEX('Settings'!$L$10:$L$39,MATCH($H903,'Settings'!$I$10:$I$39,0)),0))</f>
        <v/>
      </c>
      <c r="R903" s="17">
        <f>IF($A903="","",$A903-WEEKDAY($A903,2)+1)</f>
        <v/>
      </c>
    </row>
    <row r="904">
      <c r="A904" s="5" t="n">
        <v>46279</v>
      </c>
      <c r="B904" s="4" t="inlineStr">
        <is>
          <t>North branch</t>
        </is>
      </c>
      <c r="C904" s="4" t="inlineStr">
        <is>
          <t>North 1</t>
        </is>
      </c>
      <c r="D904" s="4" t="inlineStr">
        <is>
          <t>Dr Mohamed Adel</t>
        </is>
      </c>
      <c r="E904" s="4" t="inlineStr">
        <is>
          <t>P-2395</t>
        </is>
      </c>
      <c r="F904" s="4" t="inlineStr">
        <is>
          <t>Returning</t>
        </is>
      </c>
      <c r="G904" s="4" t="inlineStr">
        <is>
          <t>Instagram</t>
        </is>
      </c>
      <c r="H904" s="4" t="inlineStr">
        <is>
          <t>Facial cleansing</t>
        </is>
      </c>
      <c r="I904" s="9">
        <f>IF($H904="","",IFERROR(INDEX('Settings'!$J$10:$J$39,MATCH($H904,'Settings'!$I$10:$I$39,0)),""))</f>
        <v/>
      </c>
      <c r="J904" s="6" t="n">
        <v>1</v>
      </c>
      <c r="K904" s="8" t="n">
        <v>400</v>
      </c>
      <c r="L904" s="8" t="n">
        <v>80</v>
      </c>
      <c r="M904" s="14">
        <f>IF($A904="","",$J904*$K904)</f>
        <v/>
      </c>
      <c r="N904" s="14">
        <f>IF($A904="","",$M904-$L904)</f>
        <v/>
      </c>
      <c r="O904" s="4" t="inlineStr">
        <is>
          <t>Cash</t>
        </is>
      </c>
      <c r="P904" s="15">
        <f>IF($A904="","",DATE(YEAR($A904),MONTH($A904),1))</f>
        <v/>
      </c>
      <c r="Q904" s="16">
        <f>IF($H904="","",$J904*IFERROR(INDEX('Settings'!$L$10:$L$39,MATCH($H904,'Settings'!$I$10:$I$39,0)),0))</f>
        <v/>
      </c>
      <c r="R904" s="17">
        <f>IF($A904="","",$A904-WEEKDAY($A904,2)+1)</f>
        <v/>
      </c>
    </row>
    <row r="905">
      <c r="A905" s="5" t="n">
        <v>46279</v>
      </c>
      <c r="B905" s="4" t="inlineStr">
        <is>
          <t>North branch</t>
        </is>
      </c>
      <c r="C905" s="4" t="inlineStr">
        <is>
          <t>North 1</t>
        </is>
      </c>
      <c r="D905" s="4" t="inlineStr">
        <is>
          <t>Dr Khaled Youssef</t>
        </is>
      </c>
      <c r="E905" s="4" t="inlineStr">
        <is>
          <t>P-2509</t>
        </is>
      </c>
      <c r="F905" s="4" t="inlineStr">
        <is>
          <t>Returning</t>
        </is>
      </c>
      <c r="G905" s="4" t="inlineStr">
        <is>
          <t>Google</t>
        </is>
      </c>
      <c r="H905" s="4" t="inlineStr">
        <is>
          <t>Follow-up visit</t>
        </is>
      </c>
      <c r="I905" s="9">
        <f>IF($H905="","",IFERROR(INDEX('Settings'!$J$10:$J$39,MATCH($H905,'Settings'!$I$10:$I$39,0)),""))</f>
        <v/>
      </c>
      <c r="J905" s="6" t="n">
        <v>1</v>
      </c>
      <c r="K905" s="8" t="n">
        <v>150</v>
      </c>
      <c r="L905" s="8" t="n"/>
      <c r="M905" s="14">
        <f>IF($A905="","",$J905*$K905)</f>
        <v/>
      </c>
      <c r="N905" s="14">
        <f>IF($A905="","",$M905-$L905)</f>
        <v/>
      </c>
      <c r="O905" s="4" t="inlineStr">
        <is>
          <t>Cash</t>
        </is>
      </c>
      <c r="P905" s="15">
        <f>IF($A905="","",DATE(YEAR($A905),MONTH($A905),1))</f>
        <v/>
      </c>
      <c r="Q905" s="16">
        <f>IF($H905="","",$J905*IFERROR(INDEX('Settings'!$L$10:$L$39,MATCH($H905,'Settings'!$I$10:$I$39,0)),0))</f>
        <v/>
      </c>
      <c r="R905" s="17">
        <f>IF($A905="","",$A905-WEEKDAY($A905,2)+1)</f>
        <v/>
      </c>
    </row>
    <row r="906">
      <c r="A906" s="5" t="n">
        <v>46279</v>
      </c>
      <c r="B906" s="4" t="inlineStr">
        <is>
          <t>North branch</t>
        </is>
      </c>
      <c r="C906" s="4" t="inlineStr">
        <is>
          <t>North 1</t>
        </is>
      </c>
      <c r="D906" s="4" t="inlineStr">
        <is>
          <t>Dr Mohamed Adel</t>
        </is>
      </c>
      <c r="E906" s="4" t="inlineStr">
        <is>
          <t>P-2176</t>
        </is>
      </c>
      <c r="F906" s="4" t="inlineStr">
        <is>
          <t>New</t>
        </is>
      </c>
      <c r="G906" s="4" t="inlineStr">
        <is>
          <t>Instagram</t>
        </is>
      </c>
      <c r="H906" s="4" t="inlineStr">
        <is>
          <t>Physiotherapy session</t>
        </is>
      </c>
      <c r="I906" s="9">
        <f>IF($H906="","",IFERROR(INDEX('Settings'!$J$10:$J$39,MATCH($H906,'Settings'!$I$10:$I$39,0)),""))</f>
        <v/>
      </c>
      <c r="J906" s="6" t="n">
        <v>1</v>
      </c>
      <c r="K906" s="8" t="n">
        <v>300</v>
      </c>
      <c r="L906" s="8" t="n"/>
      <c r="M906" s="14">
        <f>IF($A906="","",$J906*$K906)</f>
        <v/>
      </c>
      <c r="N906" s="14">
        <f>IF($A906="","",$M906-$L906)</f>
        <v/>
      </c>
      <c r="O906" s="4" t="inlineStr">
        <is>
          <t>Cash</t>
        </is>
      </c>
      <c r="P906" s="15">
        <f>IF($A906="","",DATE(YEAR($A906),MONTH($A906),1))</f>
        <v/>
      </c>
      <c r="Q906" s="16">
        <f>IF($H906="","",$J906*IFERROR(INDEX('Settings'!$L$10:$L$39,MATCH($H906,'Settings'!$I$10:$I$39,0)),0))</f>
        <v/>
      </c>
      <c r="R906" s="17">
        <f>IF($A906="","",$A906-WEEKDAY($A906,2)+1)</f>
        <v/>
      </c>
    </row>
    <row r="907">
      <c r="A907" s="5" t="n">
        <v>46279</v>
      </c>
      <c r="B907" s="4" t="inlineStr">
        <is>
          <t>North branch</t>
        </is>
      </c>
      <c r="C907" s="4" t="inlineStr">
        <is>
          <t>North 2</t>
        </is>
      </c>
      <c r="D907" s="4" t="inlineStr">
        <is>
          <t>Dr Layla Al Qahtani</t>
        </is>
      </c>
      <c r="E907" s="4" t="inlineStr">
        <is>
          <t>P-2907</t>
        </is>
      </c>
      <c r="F907" s="4" t="inlineStr">
        <is>
          <t>Returning</t>
        </is>
      </c>
      <c r="G907" s="4" t="inlineStr">
        <is>
          <t>Google</t>
        </is>
      </c>
      <c r="H907" s="4" t="inlineStr">
        <is>
          <t>Laser session, face</t>
        </is>
      </c>
      <c r="I907" s="9">
        <f>IF($H907="","",IFERROR(INDEX('Settings'!$J$10:$J$39,MATCH($H907,'Settings'!$I$10:$I$39,0)),""))</f>
        <v/>
      </c>
      <c r="J907" s="6" t="n">
        <v>1</v>
      </c>
      <c r="K907" s="8" t="n">
        <v>600</v>
      </c>
      <c r="L907" s="8" t="n">
        <v>120</v>
      </c>
      <c r="M907" s="14">
        <f>IF($A907="","",$J907*$K907)</f>
        <v/>
      </c>
      <c r="N907" s="14">
        <f>IF($A907="","",$M907-$L907)</f>
        <v/>
      </c>
      <c r="O907" s="4" t="inlineStr">
        <is>
          <t>Cash</t>
        </is>
      </c>
      <c r="P907" s="15">
        <f>IF($A907="","",DATE(YEAR($A907),MONTH($A907),1))</f>
        <v/>
      </c>
      <c r="Q907" s="16">
        <f>IF($H907="","",$J907*IFERROR(INDEX('Settings'!$L$10:$L$39,MATCH($H907,'Settings'!$I$10:$I$39,0)),0))</f>
        <v/>
      </c>
      <c r="R907" s="17">
        <f>IF($A907="","",$A907-WEEKDAY($A907,2)+1)</f>
        <v/>
      </c>
    </row>
    <row r="908">
      <c r="A908" s="5" t="n">
        <v>46279</v>
      </c>
      <c r="B908" s="4" t="inlineStr">
        <is>
          <t>North branch</t>
        </is>
      </c>
      <c r="C908" s="4" t="inlineStr">
        <is>
          <t>North 2</t>
        </is>
      </c>
      <c r="D908" s="4" t="inlineStr">
        <is>
          <t>Dr Mohamed Adel</t>
        </is>
      </c>
      <c r="E908" s="4" t="inlineStr">
        <is>
          <t>P-3066</t>
        </is>
      </c>
      <c r="F908" s="4" t="inlineStr">
        <is>
          <t>Returning</t>
        </is>
      </c>
      <c r="G908" s="4" t="inlineStr">
        <is>
          <t>Walk-in</t>
        </is>
      </c>
      <c r="H908" s="4" t="inlineStr">
        <is>
          <t>Skin tag removal</t>
        </is>
      </c>
      <c r="I908" s="9">
        <f>IF($H908="","",IFERROR(INDEX('Settings'!$J$10:$J$39,MATCH($H908,'Settings'!$I$10:$I$39,0)),""))</f>
        <v/>
      </c>
      <c r="J908" s="6" t="n">
        <v>1</v>
      </c>
      <c r="K908" s="8" t="n">
        <v>500</v>
      </c>
      <c r="L908" s="8" t="n"/>
      <c r="M908" s="14">
        <f>IF($A908="","",$J908*$K908)</f>
        <v/>
      </c>
      <c r="N908" s="14">
        <f>IF($A908="","",$M908-$L908)</f>
        <v/>
      </c>
      <c r="O908" s="4" t="inlineStr">
        <is>
          <t>Insurance</t>
        </is>
      </c>
      <c r="P908" s="15">
        <f>IF($A908="","",DATE(YEAR($A908),MONTH($A908),1))</f>
        <v/>
      </c>
      <c r="Q908" s="16">
        <f>IF($H908="","",$J908*IFERROR(INDEX('Settings'!$L$10:$L$39,MATCH($H908,'Settings'!$I$10:$I$39,0)),0))</f>
        <v/>
      </c>
      <c r="R908" s="17">
        <f>IF($A908="","",$A908-WEEKDAY($A908,2)+1)</f>
        <v/>
      </c>
    </row>
    <row r="909">
      <c r="A909" s="5" t="n">
        <v>46279</v>
      </c>
      <c r="B909" s="4" t="inlineStr">
        <is>
          <t>North branch</t>
        </is>
      </c>
      <c r="C909" s="4" t="inlineStr">
        <is>
          <t>North 2</t>
        </is>
      </c>
      <c r="D909" s="4" t="inlineStr">
        <is>
          <t>Dr Khaled Youssef</t>
        </is>
      </c>
      <c r="E909" s="4" t="inlineStr">
        <is>
          <t>P-3064</t>
        </is>
      </c>
      <c r="F909" s="4" t="inlineStr">
        <is>
          <t>Returning</t>
        </is>
      </c>
      <c r="G909" s="4" t="inlineStr">
        <is>
          <t>Referral</t>
        </is>
      </c>
      <c r="H909" s="4" t="inlineStr">
        <is>
          <t>Laser session, face</t>
        </is>
      </c>
      <c r="I909" s="9">
        <f>IF($H909="","",IFERROR(INDEX('Settings'!$J$10:$J$39,MATCH($H909,'Settings'!$I$10:$I$39,0)),""))</f>
        <v/>
      </c>
      <c r="J909" s="6" t="n">
        <v>1</v>
      </c>
      <c r="K909" s="8" t="n">
        <v>600</v>
      </c>
      <c r="L909" s="8" t="n">
        <v>120</v>
      </c>
      <c r="M909" s="14">
        <f>IF($A909="","",$J909*$K909)</f>
        <v/>
      </c>
      <c r="N909" s="14">
        <f>IF($A909="","",$M909-$L909)</f>
        <v/>
      </c>
      <c r="O909" s="4" t="inlineStr">
        <is>
          <t>Cash</t>
        </is>
      </c>
      <c r="P909" s="15">
        <f>IF($A909="","",DATE(YEAR($A909),MONTH($A909),1))</f>
        <v/>
      </c>
      <c r="Q909" s="16">
        <f>IF($H909="","",$J909*IFERROR(INDEX('Settings'!$L$10:$L$39,MATCH($H909,'Settings'!$I$10:$I$39,0)),0))</f>
        <v/>
      </c>
      <c r="R909" s="17">
        <f>IF($A909="","",$A909-WEEKDAY($A909,2)+1)</f>
        <v/>
      </c>
    </row>
    <row r="910">
      <c r="A910" s="5" t="n">
        <v>46279</v>
      </c>
      <c r="B910" s="4" t="inlineStr">
        <is>
          <t>North branch</t>
        </is>
      </c>
      <c r="C910" s="4" t="inlineStr">
        <is>
          <t>North 2</t>
        </is>
      </c>
      <c r="D910" s="4" t="inlineStr">
        <is>
          <t>Dr Layla Al Qahtani</t>
        </is>
      </c>
      <c r="E910" s="4" t="inlineStr">
        <is>
          <t>P-2369</t>
        </is>
      </c>
      <c r="F910" s="4" t="inlineStr">
        <is>
          <t>Returning</t>
        </is>
      </c>
      <c r="G910" s="4" t="inlineStr">
        <is>
          <t>Google</t>
        </is>
      </c>
      <c r="H910" s="4" t="inlineStr">
        <is>
          <t>Laser session, body</t>
        </is>
      </c>
      <c r="I910" s="9">
        <f>IF($H910="","",IFERROR(INDEX('Settings'!$J$10:$J$39,MATCH($H910,'Settings'!$I$10:$I$39,0)),""))</f>
        <v/>
      </c>
      <c r="J910" s="6" t="n">
        <v>1</v>
      </c>
      <c r="K910" s="8" t="n">
        <v>1200</v>
      </c>
      <c r="L910" s="8" t="n">
        <v>240</v>
      </c>
      <c r="M910" s="14">
        <f>IF($A910="","",$J910*$K910)</f>
        <v/>
      </c>
      <c r="N910" s="14">
        <f>IF($A910="","",$M910-$L910)</f>
        <v/>
      </c>
      <c r="O910" s="4" t="inlineStr">
        <is>
          <t>Card</t>
        </is>
      </c>
      <c r="P910" s="15">
        <f>IF($A910="","",DATE(YEAR($A910),MONTH($A910),1))</f>
        <v/>
      </c>
      <c r="Q910" s="16">
        <f>IF($H910="","",$J910*IFERROR(INDEX('Settings'!$L$10:$L$39,MATCH($H910,'Settings'!$I$10:$I$39,0)),0))</f>
        <v/>
      </c>
      <c r="R910" s="17">
        <f>IF($A910="","",$A910-WEEKDAY($A910,2)+1)</f>
        <v/>
      </c>
    </row>
    <row r="911">
      <c r="A911" s="5" t="n">
        <v>46279</v>
      </c>
      <c r="B911" s="4" t="inlineStr">
        <is>
          <t>North branch</t>
        </is>
      </c>
      <c r="C911" s="4" t="inlineStr">
        <is>
          <t>North 2</t>
        </is>
      </c>
      <c r="D911" s="4" t="inlineStr">
        <is>
          <t>Dr Khaled Youssef</t>
        </is>
      </c>
      <c r="E911" s="4" t="inlineStr">
        <is>
          <t>P-3437</t>
        </is>
      </c>
      <c r="F911" s="4" t="inlineStr">
        <is>
          <t>Returning</t>
        </is>
      </c>
      <c r="G911" s="4" t="inlineStr">
        <is>
          <t>Referral</t>
        </is>
      </c>
      <c r="H911" s="4" t="inlineStr">
        <is>
          <t>Follow-up visit</t>
        </is>
      </c>
      <c r="I911" s="9">
        <f>IF($H911="","",IFERROR(INDEX('Settings'!$J$10:$J$39,MATCH($H911,'Settings'!$I$10:$I$39,0)),""))</f>
        <v/>
      </c>
      <c r="J911" s="6" t="n">
        <v>1</v>
      </c>
      <c r="K911" s="8" t="n">
        <v>150</v>
      </c>
      <c r="L911" s="8" t="n"/>
      <c r="M911" s="14">
        <f>IF($A911="","",$J911*$K911)</f>
        <v/>
      </c>
      <c r="N911" s="14">
        <f>IF($A911="","",$M911-$L911)</f>
        <v/>
      </c>
      <c r="O911" s="4" t="inlineStr">
        <is>
          <t>Insurance</t>
        </is>
      </c>
      <c r="P911" s="15">
        <f>IF($A911="","",DATE(YEAR($A911),MONTH($A911),1))</f>
        <v/>
      </c>
      <c r="Q911" s="16">
        <f>IF($H911="","",$J911*IFERROR(INDEX('Settings'!$L$10:$L$39,MATCH($H911,'Settings'!$I$10:$I$39,0)),0))</f>
        <v/>
      </c>
      <c r="R911" s="17">
        <f>IF($A911="","",$A911-WEEKDAY($A911,2)+1)</f>
        <v/>
      </c>
    </row>
    <row r="912">
      <c r="A912" s="5" t="n">
        <v>46280</v>
      </c>
      <c r="B912" s="4" t="inlineStr">
        <is>
          <t>Main branch</t>
        </is>
      </c>
      <c r="C912" s="4" t="inlineStr">
        <is>
          <t>Main 1</t>
        </is>
      </c>
      <c r="D912" s="4" t="inlineStr">
        <is>
          <t>Dr Sara Al Harbi</t>
        </is>
      </c>
      <c r="E912" s="4" t="inlineStr">
        <is>
          <t>P-3147</t>
        </is>
      </c>
      <c r="F912" s="4" t="inlineStr">
        <is>
          <t>New</t>
        </is>
      </c>
      <c r="G912" s="4" t="inlineStr">
        <is>
          <t>Instagram</t>
        </is>
      </c>
      <c r="H912" s="4" t="inlineStr">
        <is>
          <t>Physiotherapy session</t>
        </is>
      </c>
      <c r="I912" s="9">
        <f>IF($H912="","",IFERROR(INDEX('Settings'!$J$10:$J$39,MATCH($H912,'Settings'!$I$10:$I$39,0)),""))</f>
        <v/>
      </c>
      <c r="J912" s="6" t="n">
        <v>1</v>
      </c>
      <c r="K912" s="8" t="n">
        <v>300</v>
      </c>
      <c r="L912" s="8" t="n">
        <v>60</v>
      </c>
      <c r="M912" s="14">
        <f>IF($A912="","",$J912*$K912)</f>
        <v/>
      </c>
      <c r="N912" s="14">
        <f>IF($A912="","",$M912-$L912)</f>
        <v/>
      </c>
      <c r="O912" s="4" t="inlineStr">
        <is>
          <t>Card</t>
        </is>
      </c>
      <c r="P912" s="15">
        <f>IF($A912="","",DATE(YEAR($A912),MONTH($A912),1))</f>
        <v/>
      </c>
      <c r="Q912" s="16">
        <f>IF($H912="","",$J912*IFERROR(INDEX('Settings'!$L$10:$L$39,MATCH($H912,'Settings'!$I$10:$I$39,0)),0))</f>
        <v/>
      </c>
      <c r="R912" s="17">
        <f>IF($A912="","",$A912-WEEKDAY($A912,2)+1)</f>
        <v/>
      </c>
    </row>
    <row r="913">
      <c r="A913" s="5" t="n">
        <v>46280</v>
      </c>
      <c r="B913" s="4" t="inlineStr">
        <is>
          <t>Main branch</t>
        </is>
      </c>
      <c r="C913" s="4" t="inlineStr">
        <is>
          <t>Main 3</t>
        </is>
      </c>
      <c r="D913" s="4" t="inlineStr">
        <is>
          <t>Dr Noura Al Subaie</t>
        </is>
      </c>
      <c r="E913" s="4" t="inlineStr">
        <is>
          <t>P-3417</t>
        </is>
      </c>
      <c r="F913" s="4" t="inlineStr">
        <is>
          <t>Returning</t>
        </is>
      </c>
      <c r="G913" s="4" t="inlineStr">
        <is>
          <t>Instagram</t>
        </is>
      </c>
      <c r="H913" s="4" t="inlineStr">
        <is>
          <t>Follow-up visit</t>
        </is>
      </c>
      <c r="I913" s="9">
        <f>IF($H913="","",IFERROR(INDEX('Settings'!$J$10:$J$39,MATCH($H913,'Settings'!$I$10:$I$39,0)),""))</f>
        <v/>
      </c>
      <c r="J913" s="6" t="n">
        <v>1</v>
      </c>
      <c r="K913" s="8" t="n">
        <v>150</v>
      </c>
      <c r="L913" s="8" t="n"/>
      <c r="M913" s="14">
        <f>IF($A913="","",$J913*$K913)</f>
        <v/>
      </c>
      <c r="N913" s="14">
        <f>IF($A913="","",$M913-$L913)</f>
        <v/>
      </c>
      <c r="O913" s="4" t="inlineStr">
        <is>
          <t>Cash</t>
        </is>
      </c>
      <c r="P913" s="15">
        <f>IF($A913="","",DATE(YEAR($A913),MONTH($A913),1))</f>
        <v/>
      </c>
      <c r="Q913" s="16">
        <f>IF($H913="","",$J913*IFERROR(INDEX('Settings'!$L$10:$L$39,MATCH($H913,'Settings'!$I$10:$I$39,0)),0))</f>
        <v/>
      </c>
      <c r="R913" s="17">
        <f>IF($A913="","",$A913-WEEKDAY($A913,2)+1)</f>
        <v/>
      </c>
    </row>
    <row r="914">
      <c r="A914" s="5" t="n">
        <v>46280</v>
      </c>
      <c r="B914" s="4" t="inlineStr">
        <is>
          <t>Main branch</t>
        </is>
      </c>
      <c r="C914" s="4" t="inlineStr">
        <is>
          <t>Main 4</t>
        </is>
      </c>
      <c r="D914" s="4" t="inlineStr">
        <is>
          <t>Dr Sara Al Harbi</t>
        </is>
      </c>
      <c r="E914" s="4" t="inlineStr">
        <is>
          <t>P-2467</t>
        </is>
      </c>
      <c r="F914" s="4" t="inlineStr">
        <is>
          <t>Returning</t>
        </is>
      </c>
      <c r="G914" s="4" t="inlineStr">
        <is>
          <t>Walk-in</t>
        </is>
      </c>
      <c r="H914" s="4" t="inlineStr">
        <is>
          <t>Follow-up visit</t>
        </is>
      </c>
      <c r="I914" s="9">
        <f>IF($H914="","",IFERROR(INDEX('Settings'!$J$10:$J$39,MATCH($H914,'Settings'!$I$10:$I$39,0)),""))</f>
        <v/>
      </c>
      <c r="J914" s="6" t="n">
        <v>1</v>
      </c>
      <c r="K914" s="8" t="n">
        <v>150</v>
      </c>
      <c r="L914" s="8" t="n"/>
      <c r="M914" s="14">
        <f>IF($A914="","",$J914*$K914)</f>
        <v/>
      </c>
      <c r="N914" s="14">
        <f>IF($A914="","",$M914-$L914)</f>
        <v/>
      </c>
      <c r="O914" s="4" t="inlineStr">
        <is>
          <t>Card</t>
        </is>
      </c>
      <c r="P914" s="15">
        <f>IF($A914="","",DATE(YEAR($A914),MONTH($A914),1))</f>
        <v/>
      </c>
      <c r="Q914" s="16">
        <f>IF($H914="","",$J914*IFERROR(INDEX('Settings'!$L$10:$L$39,MATCH($H914,'Settings'!$I$10:$I$39,0)),0))</f>
        <v/>
      </c>
      <c r="R914" s="17">
        <f>IF($A914="","",$A914-WEEKDAY($A914,2)+1)</f>
        <v/>
      </c>
    </row>
    <row r="915">
      <c r="A915" s="5" t="n">
        <v>46280</v>
      </c>
      <c r="B915" s="4" t="inlineStr">
        <is>
          <t>North branch</t>
        </is>
      </c>
      <c r="C915" s="4" t="inlineStr">
        <is>
          <t>North 1</t>
        </is>
      </c>
      <c r="D915" s="4" t="inlineStr">
        <is>
          <t>Dr Layla Al Qahtani</t>
        </is>
      </c>
      <c r="E915" s="4" t="inlineStr">
        <is>
          <t>P-3002</t>
        </is>
      </c>
      <c r="F915" s="4" t="inlineStr">
        <is>
          <t>Returning</t>
        </is>
      </c>
      <c r="G915" s="4" t="inlineStr">
        <is>
          <t>Referral</t>
        </is>
      </c>
      <c r="H915" s="4" t="inlineStr">
        <is>
          <t>Specialist consultation</t>
        </is>
      </c>
      <c r="I915" s="9">
        <f>IF($H915="","",IFERROR(INDEX('Settings'!$J$10:$J$39,MATCH($H915,'Settings'!$I$10:$I$39,0)),""))</f>
        <v/>
      </c>
      <c r="J915" s="6" t="n">
        <v>1</v>
      </c>
      <c r="K915" s="8" t="n">
        <v>350</v>
      </c>
      <c r="L915" s="8" t="n"/>
      <c r="M915" s="14">
        <f>IF($A915="","",$J915*$K915)</f>
        <v/>
      </c>
      <c r="N915" s="14">
        <f>IF($A915="","",$M915-$L915)</f>
        <v/>
      </c>
      <c r="O915" s="4" t="inlineStr">
        <is>
          <t>Transfer</t>
        </is>
      </c>
      <c r="P915" s="15">
        <f>IF($A915="","",DATE(YEAR($A915),MONTH($A915),1))</f>
        <v/>
      </c>
      <c r="Q915" s="16">
        <f>IF($H915="","",$J915*IFERROR(INDEX('Settings'!$L$10:$L$39,MATCH($H915,'Settings'!$I$10:$I$39,0)),0))</f>
        <v/>
      </c>
      <c r="R915" s="17">
        <f>IF($A915="","",$A915-WEEKDAY($A915,2)+1)</f>
        <v/>
      </c>
    </row>
    <row r="916">
      <c r="A916" s="5" t="n">
        <v>46280</v>
      </c>
      <c r="B916" s="4" t="inlineStr">
        <is>
          <t>North branch</t>
        </is>
      </c>
      <c r="C916" s="4" t="inlineStr">
        <is>
          <t>North 1</t>
        </is>
      </c>
      <c r="D916" s="4" t="inlineStr">
        <is>
          <t>Dr Mohamed Adel</t>
        </is>
      </c>
      <c r="E916" s="4" t="inlineStr">
        <is>
          <t>P-2510</t>
        </is>
      </c>
      <c r="F916" s="4" t="inlineStr">
        <is>
          <t>New</t>
        </is>
      </c>
      <c r="G916" s="4" t="inlineStr">
        <is>
          <t>Google</t>
        </is>
      </c>
      <c r="H916" s="4" t="inlineStr">
        <is>
          <t>Laser session, face</t>
        </is>
      </c>
      <c r="I916" s="9">
        <f>IF($H916="","",IFERROR(INDEX('Settings'!$J$10:$J$39,MATCH($H916,'Settings'!$I$10:$I$39,0)),""))</f>
        <v/>
      </c>
      <c r="J916" s="6" t="n">
        <v>1</v>
      </c>
      <c r="K916" s="8" t="n">
        <v>600</v>
      </c>
      <c r="L916" s="8" t="n">
        <v>120</v>
      </c>
      <c r="M916" s="14">
        <f>IF($A916="","",$J916*$K916)</f>
        <v/>
      </c>
      <c r="N916" s="14">
        <f>IF($A916="","",$M916-$L916)</f>
        <v/>
      </c>
      <c r="O916" s="4" t="inlineStr">
        <is>
          <t>Card</t>
        </is>
      </c>
      <c r="P916" s="15">
        <f>IF($A916="","",DATE(YEAR($A916),MONTH($A916),1))</f>
        <v/>
      </c>
      <c r="Q916" s="16">
        <f>IF($H916="","",$J916*IFERROR(INDEX('Settings'!$L$10:$L$39,MATCH($H916,'Settings'!$I$10:$I$39,0)),0))</f>
        <v/>
      </c>
      <c r="R916" s="17">
        <f>IF($A916="","",$A916-WEEKDAY($A916,2)+1)</f>
        <v/>
      </c>
    </row>
    <row r="917">
      <c r="A917" s="5" t="n">
        <v>46280</v>
      </c>
      <c r="B917" s="4" t="inlineStr">
        <is>
          <t>North branch</t>
        </is>
      </c>
      <c r="C917" s="4" t="inlineStr">
        <is>
          <t>North 1</t>
        </is>
      </c>
      <c r="D917" s="4" t="inlineStr">
        <is>
          <t>Dr Mohamed Adel</t>
        </is>
      </c>
      <c r="E917" s="4" t="inlineStr">
        <is>
          <t>P-2324</t>
        </is>
      </c>
      <c r="F917" s="4" t="inlineStr">
        <is>
          <t>Returning</t>
        </is>
      </c>
      <c r="G917" s="4" t="inlineStr">
        <is>
          <t>Referral</t>
        </is>
      </c>
      <c r="H917" s="4" t="inlineStr">
        <is>
          <t>Laser session, face</t>
        </is>
      </c>
      <c r="I917" s="9">
        <f>IF($H917="","",IFERROR(INDEX('Settings'!$J$10:$J$39,MATCH($H917,'Settings'!$I$10:$I$39,0)),""))</f>
        <v/>
      </c>
      <c r="J917" s="6" t="n">
        <v>1</v>
      </c>
      <c r="K917" s="8" t="n">
        <v>600</v>
      </c>
      <c r="L917" s="8" t="n">
        <v>120</v>
      </c>
      <c r="M917" s="14">
        <f>IF($A917="","",$J917*$K917)</f>
        <v/>
      </c>
      <c r="N917" s="14">
        <f>IF($A917="","",$M917-$L917)</f>
        <v/>
      </c>
      <c r="O917" s="4" t="inlineStr">
        <is>
          <t>Card</t>
        </is>
      </c>
      <c r="P917" s="15">
        <f>IF($A917="","",DATE(YEAR($A917),MONTH($A917),1))</f>
        <v/>
      </c>
      <c r="Q917" s="16">
        <f>IF($H917="","",$J917*IFERROR(INDEX('Settings'!$L$10:$L$39,MATCH($H917,'Settings'!$I$10:$I$39,0)),0))</f>
        <v/>
      </c>
      <c r="R917" s="17">
        <f>IF($A917="","",$A917-WEEKDAY($A917,2)+1)</f>
        <v/>
      </c>
    </row>
    <row r="918">
      <c r="A918" s="5" t="n">
        <v>46280</v>
      </c>
      <c r="B918" s="4" t="inlineStr">
        <is>
          <t>North branch</t>
        </is>
      </c>
      <c r="C918" s="4" t="inlineStr">
        <is>
          <t>North 2</t>
        </is>
      </c>
      <c r="D918" s="4" t="inlineStr">
        <is>
          <t>Dr Mohamed Adel</t>
        </is>
      </c>
      <c r="E918" s="4" t="inlineStr">
        <is>
          <t>P-2757</t>
        </is>
      </c>
      <c r="F918" s="4" t="inlineStr">
        <is>
          <t>Returning</t>
        </is>
      </c>
      <c r="G918" s="4" t="inlineStr">
        <is>
          <t>Walk-in</t>
        </is>
      </c>
      <c r="H918" s="4" t="inlineStr">
        <is>
          <t>Facial cleansing</t>
        </is>
      </c>
      <c r="I918" s="9">
        <f>IF($H918="","",IFERROR(INDEX('Settings'!$J$10:$J$39,MATCH($H918,'Settings'!$I$10:$I$39,0)),""))</f>
        <v/>
      </c>
      <c r="J918" s="6" t="n">
        <v>1</v>
      </c>
      <c r="K918" s="8" t="n">
        <v>400</v>
      </c>
      <c r="L918" s="8" t="n">
        <v>40</v>
      </c>
      <c r="M918" s="14">
        <f>IF($A918="","",$J918*$K918)</f>
        <v/>
      </c>
      <c r="N918" s="14">
        <f>IF($A918="","",$M918-$L918)</f>
        <v/>
      </c>
      <c r="O918" s="4" t="inlineStr">
        <is>
          <t>Payment link</t>
        </is>
      </c>
      <c r="P918" s="15">
        <f>IF($A918="","",DATE(YEAR($A918),MONTH($A918),1))</f>
        <v/>
      </c>
      <c r="Q918" s="16">
        <f>IF($H918="","",$J918*IFERROR(INDEX('Settings'!$L$10:$L$39,MATCH($H918,'Settings'!$I$10:$I$39,0)),0))</f>
        <v/>
      </c>
      <c r="R918" s="17">
        <f>IF($A918="","",$A918-WEEKDAY($A918,2)+1)</f>
        <v/>
      </c>
    </row>
    <row r="919">
      <c r="A919" s="5" t="n">
        <v>46280</v>
      </c>
      <c r="B919" s="4" t="inlineStr">
        <is>
          <t>North branch</t>
        </is>
      </c>
      <c r="C919" s="4" t="inlineStr">
        <is>
          <t>North 2</t>
        </is>
      </c>
      <c r="D919" s="4" t="inlineStr">
        <is>
          <t>Dr Mohamed Adel</t>
        </is>
      </c>
      <c r="E919" s="4" t="inlineStr">
        <is>
          <t>P-2317</t>
        </is>
      </c>
      <c r="F919" s="4" t="inlineStr">
        <is>
          <t>Returning</t>
        </is>
      </c>
      <c r="G919" s="4" t="inlineStr">
        <is>
          <t>Referral</t>
        </is>
      </c>
      <c r="H919" s="4" t="inlineStr">
        <is>
          <t>Laser session, face</t>
        </is>
      </c>
      <c r="I919" s="9">
        <f>IF($H919="","",IFERROR(INDEX('Settings'!$J$10:$J$39,MATCH($H919,'Settings'!$I$10:$I$39,0)),""))</f>
        <v/>
      </c>
      <c r="J919" s="6" t="n">
        <v>1</v>
      </c>
      <c r="K919" s="8" t="n">
        <v>600</v>
      </c>
      <c r="L919" s="8" t="n"/>
      <c r="M919" s="14">
        <f>IF($A919="","",$J919*$K919)</f>
        <v/>
      </c>
      <c r="N919" s="14">
        <f>IF($A919="","",$M919-$L919)</f>
        <v/>
      </c>
      <c r="O919" s="4" t="inlineStr">
        <is>
          <t>Transfer</t>
        </is>
      </c>
      <c r="P919" s="15">
        <f>IF($A919="","",DATE(YEAR($A919),MONTH($A919),1))</f>
        <v/>
      </c>
      <c r="Q919" s="16">
        <f>IF($H919="","",$J919*IFERROR(INDEX('Settings'!$L$10:$L$39,MATCH($H919,'Settings'!$I$10:$I$39,0)),0))</f>
        <v/>
      </c>
      <c r="R919" s="17">
        <f>IF($A919="","",$A919-WEEKDAY($A919,2)+1)</f>
        <v/>
      </c>
    </row>
    <row r="920">
      <c r="A920" s="5" t="n">
        <v>46280</v>
      </c>
      <c r="B920" s="4" t="inlineStr">
        <is>
          <t>North branch</t>
        </is>
      </c>
      <c r="C920" s="4" t="inlineStr">
        <is>
          <t>North 2</t>
        </is>
      </c>
      <c r="D920" s="4" t="inlineStr">
        <is>
          <t>Dr Layla Al Qahtani</t>
        </is>
      </c>
      <c r="E920" s="4" t="inlineStr">
        <is>
          <t>P-2907</t>
        </is>
      </c>
      <c r="F920" s="4" t="inlineStr">
        <is>
          <t>New</t>
        </is>
      </c>
      <c r="G920" s="4" t="inlineStr">
        <is>
          <t>Instagram</t>
        </is>
      </c>
      <c r="H920" s="4" t="inlineStr">
        <is>
          <t>Facial cleansing</t>
        </is>
      </c>
      <c r="I920" s="9">
        <f>IF($H920="","",IFERROR(INDEX('Settings'!$J$10:$J$39,MATCH($H920,'Settings'!$I$10:$I$39,0)),""))</f>
        <v/>
      </c>
      <c r="J920" s="6" t="n">
        <v>1</v>
      </c>
      <c r="K920" s="8" t="n">
        <v>400</v>
      </c>
      <c r="L920" s="8" t="n">
        <v>60</v>
      </c>
      <c r="M920" s="14">
        <f>IF($A920="","",$J920*$K920)</f>
        <v/>
      </c>
      <c r="N920" s="14">
        <f>IF($A920="","",$M920-$L920)</f>
        <v/>
      </c>
      <c r="O920" s="4" t="inlineStr">
        <is>
          <t>Card</t>
        </is>
      </c>
      <c r="P920" s="15">
        <f>IF($A920="","",DATE(YEAR($A920),MONTH($A920),1))</f>
        <v/>
      </c>
      <c r="Q920" s="16">
        <f>IF($H920="","",$J920*IFERROR(INDEX('Settings'!$L$10:$L$39,MATCH($H920,'Settings'!$I$10:$I$39,0)),0))</f>
        <v/>
      </c>
      <c r="R920" s="17">
        <f>IF($A920="","",$A920-WEEKDAY($A920,2)+1)</f>
        <v/>
      </c>
    </row>
    <row r="921">
      <c r="A921" s="5" t="n">
        <v>46280</v>
      </c>
      <c r="B921" s="4" t="inlineStr">
        <is>
          <t>North branch</t>
        </is>
      </c>
      <c r="C921" s="4" t="inlineStr">
        <is>
          <t>North 2</t>
        </is>
      </c>
      <c r="D921" s="4" t="inlineStr">
        <is>
          <t>Dr Layla Al Qahtani</t>
        </is>
      </c>
      <c r="E921" s="4" t="inlineStr">
        <is>
          <t>P-2431</t>
        </is>
      </c>
      <c r="F921" s="4" t="inlineStr">
        <is>
          <t>Returning</t>
        </is>
      </c>
      <c r="G921" s="4" t="inlineStr">
        <is>
          <t>Referral</t>
        </is>
      </c>
      <c r="H921" s="4" t="inlineStr">
        <is>
          <t>Specialist consultation</t>
        </is>
      </c>
      <c r="I921" s="9">
        <f>IF($H921="","",IFERROR(INDEX('Settings'!$J$10:$J$39,MATCH($H921,'Settings'!$I$10:$I$39,0)),""))</f>
        <v/>
      </c>
      <c r="J921" s="6" t="n">
        <v>1</v>
      </c>
      <c r="K921" s="8" t="n">
        <v>350</v>
      </c>
      <c r="L921" s="8" t="n"/>
      <c r="M921" s="14">
        <f>IF($A921="","",$J921*$K921)</f>
        <v/>
      </c>
      <c r="N921" s="14">
        <f>IF($A921="","",$M921-$L921)</f>
        <v/>
      </c>
      <c r="O921" s="4" t="inlineStr">
        <is>
          <t>Card</t>
        </is>
      </c>
      <c r="P921" s="15">
        <f>IF($A921="","",DATE(YEAR($A921),MONTH($A921),1))</f>
        <v/>
      </c>
      <c r="Q921" s="16">
        <f>IF($H921="","",$J921*IFERROR(INDEX('Settings'!$L$10:$L$39,MATCH($H921,'Settings'!$I$10:$I$39,0)),0))</f>
        <v/>
      </c>
      <c r="R921" s="17">
        <f>IF($A921="","",$A921-WEEKDAY($A921,2)+1)</f>
        <v/>
      </c>
    </row>
    <row r="922">
      <c r="A922" s="5" t="n">
        <v>46280</v>
      </c>
      <c r="B922" s="4" t="inlineStr">
        <is>
          <t>North branch</t>
        </is>
      </c>
      <c r="C922" s="4" t="inlineStr">
        <is>
          <t>North 2</t>
        </is>
      </c>
      <c r="D922" s="4" t="inlineStr">
        <is>
          <t>Dr Khaled Youssef</t>
        </is>
      </c>
      <c r="E922" s="4" t="inlineStr">
        <is>
          <t>P-2937</t>
        </is>
      </c>
      <c r="F922" s="4" t="inlineStr">
        <is>
          <t>Returning</t>
        </is>
      </c>
      <c r="G922" s="4" t="inlineStr">
        <is>
          <t>Google</t>
        </is>
      </c>
      <c r="H922" s="4" t="inlineStr">
        <is>
          <t>Follow-up visit</t>
        </is>
      </c>
      <c r="I922" s="9">
        <f>IF($H922="","",IFERROR(INDEX('Settings'!$J$10:$J$39,MATCH($H922,'Settings'!$I$10:$I$39,0)),""))</f>
        <v/>
      </c>
      <c r="J922" s="6" t="n">
        <v>1</v>
      </c>
      <c r="K922" s="8" t="n">
        <v>150</v>
      </c>
      <c r="L922" s="8" t="n"/>
      <c r="M922" s="14">
        <f>IF($A922="","",$J922*$K922)</f>
        <v/>
      </c>
      <c r="N922" s="14">
        <f>IF($A922="","",$M922-$L922)</f>
        <v/>
      </c>
      <c r="O922" s="4" t="inlineStr">
        <is>
          <t>Card</t>
        </is>
      </c>
      <c r="P922" s="15">
        <f>IF($A922="","",DATE(YEAR($A922),MONTH($A922),1))</f>
        <v/>
      </c>
      <c r="Q922" s="16">
        <f>IF($H922="","",$J922*IFERROR(INDEX('Settings'!$L$10:$L$39,MATCH($H922,'Settings'!$I$10:$I$39,0)),0))</f>
        <v/>
      </c>
      <c r="R922" s="17">
        <f>IF($A922="","",$A922-WEEKDAY($A922,2)+1)</f>
        <v/>
      </c>
    </row>
    <row r="923">
      <c r="A923" s="5" t="n">
        <v>46281</v>
      </c>
      <c r="B923" s="4" t="inlineStr">
        <is>
          <t>Main branch</t>
        </is>
      </c>
      <c r="C923" s="4" t="inlineStr">
        <is>
          <t>Main 1</t>
        </is>
      </c>
      <c r="D923" s="4" t="inlineStr">
        <is>
          <t>Dr Ahmed Mansour</t>
        </is>
      </c>
      <c r="E923" s="4" t="inlineStr">
        <is>
          <t>P-3416</t>
        </is>
      </c>
      <c r="F923" s="4" t="inlineStr">
        <is>
          <t>Returning</t>
        </is>
      </c>
      <c r="G923" s="4" t="inlineStr">
        <is>
          <t>Walk-in</t>
        </is>
      </c>
      <c r="H923" s="4" t="inlineStr">
        <is>
          <t>Sunscreen cream</t>
        </is>
      </c>
      <c r="I923" s="9">
        <f>IF($H923="","",IFERROR(INDEX('Settings'!$J$10:$J$39,MATCH($H923,'Settings'!$I$10:$I$39,0)),""))</f>
        <v/>
      </c>
      <c r="J923" s="6" t="n">
        <v>1</v>
      </c>
      <c r="K923" s="8" t="n">
        <v>120</v>
      </c>
      <c r="L923" s="8" t="n"/>
      <c r="M923" s="14">
        <f>IF($A923="","",$J923*$K923)</f>
        <v/>
      </c>
      <c r="N923" s="14">
        <f>IF($A923="","",$M923-$L923)</f>
        <v/>
      </c>
      <c r="O923" s="4" t="inlineStr">
        <is>
          <t>Card</t>
        </is>
      </c>
      <c r="P923" s="15">
        <f>IF($A923="","",DATE(YEAR($A923),MONTH($A923),1))</f>
        <v/>
      </c>
      <c r="Q923" s="16">
        <f>IF($H923="","",$J923*IFERROR(INDEX('Settings'!$L$10:$L$39,MATCH($H923,'Settings'!$I$10:$I$39,0)),0))</f>
        <v/>
      </c>
      <c r="R923" s="17">
        <f>IF($A923="","",$A923-WEEKDAY($A923,2)+1)</f>
        <v/>
      </c>
    </row>
    <row r="924">
      <c r="A924" s="5" t="n">
        <v>46281</v>
      </c>
      <c r="B924" s="4" t="inlineStr">
        <is>
          <t>Main branch</t>
        </is>
      </c>
      <c r="C924" s="4" t="inlineStr">
        <is>
          <t>Main 2</t>
        </is>
      </c>
      <c r="D924" s="4" t="inlineStr">
        <is>
          <t>Dr Noura Al Subaie</t>
        </is>
      </c>
      <c r="E924" s="4" t="inlineStr">
        <is>
          <t>P-3093</t>
        </is>
      </c>
      <c r="F924" s="4" t="inlineStr">
        <is>
          <t>Returning</t>
        </is>
      </c>
      <c r="G924" s="4" t="inlineStr">
        <is>
          <t>WhatsApp</t>
        </is>
      </c>
      <c r="H924" s="4" t="inlineStr">
        <is>
          <t>Specialist consultation</t>
        </is>
      </c>
      <c r="I924" s="9">
        <f>IF($H924="","",IFERROR(INDEX('Settings'!$J$10:$J$39,MATCH($H924,'Settings'!$I$10:$I$39,0)),""))</f>
        <v/>
      </c>
      <c r="J924" s="6" t="n">
        <v>1</v>
      </c>
      <c r="K924" s="8" t="n">
        <v>350</v>
      </c>
      <c r="L924" s="8" t="n"/>
      <c r="M924" s="14">
        <f>IF($A924="","",$J924*$K924)</f>
        <v/>
      </c>
      <c r="N924" s="14">
        <f>IF($A924="","",$M924-$L924)</f>
        <v/>
      </c>
      <c r="O924" s="4" t="inlineStr">
        <is>
          <t>Card</t>
        </is>
      </c>
      <c r="P924" s="15">
        <f>IF($A924="","",DATE(YEAR($A924),MONTH($A924),1))</f>
        <v/>
      </c>
      <c r="Q924" s="16">
        <f>IF($H924="","",$J924*IFERROR(INDEX('Settings'!$L$10:$L$39,MATCH($H924,'Settings'!$I$10:$I$39,0)),0))</f>
        <v/>
      </c>
      <c r="R924" s="17">
        <f>IF($A924="","",$A924-WEEKDAY($A924,2)+1)</f>
        <v/>
      </c>
    </row>
    <row r="925">
      <c r="A925" s="5" t="n">
        <v>46281</v>
      </c>
      <c r="B925" s="4" t="inlineStr">
        <is>
          <t>Main branch</t>
        </is>
      </c>
      <c r="C925" s="4" t="inlineStr">
        <is>
          <t>Main 2</t>
        </is>
      </c>
      <c r="D925" s="4" t="inlineStr">
        <is>
          <t>Dr Noura Al Subaie</t>
        </is>
      </c>
      <c r="E925" s="4" t="inlineStr">
        <is>
          <t>P-2562</t>
        </is>
      </c>
      <c r="F925" s="4" t="inlineStr">
        <is>
          <t>Returning</t>
        </is>
      </c>
      <c r="G925" s="4" t="inlineStr">
        <is>
          <t>Instagram</t>
        </is>
      </c>
      <c r="H925" s="4" t="inlineStr">
        <is>
          <t>Botulinum toxin</t>
        </is>
      </c>
      <c r="I925" s="9">
        <f>IF($H925="","",IFERROR(INDEX('Settings'!$J$10:$J$39,MATCH($H925,'Settings'!$I$10:$I$39,0)),""))</f>
        <v/>
      </c>
      <c r="J925" s="6" t="n">
        <v>1</v>
      </c>
      <c r="K925" s="8" t="n">
        <v>1500</v>
      </c>
      <c r="L925" s="8" t="n"/>
      <c r="M925" s="14">
        <f>IF($A925="","",$J925*$K925)</f>
        <v/>
      </c>
      <c r="N925" s="14">
        <f>IF($A925="","",$M925-$L925)</f>
        <v/>
      </c>
      <c r="O925" s="4" t="inlineStr">
        <is>
          <t>Cash</t>
        </is>
      </c>
      <c r="P925" s="15">
        <f>IF($A925="","",DATE(YEAR($A925),MONTH($A925),1))</f>
        <v/>
      </c>
      <c r="Q925" s="16">
        <f>IF($H925="","",$J925*IFERROR(INDEX('Settings'!$L$10:$L$39,MATCH($H925,'Settings'!$I$10:$I$39,0)),0))</f>
        <v/>
      </c>
      <c r="R925" s="17">
        <f>IF($A925="","",$A925-WEEKDAY($A925,2)+1)</f>
        <v/>
      </c>
    </row>
    <row r="926">
      <c r="A926" s="5" t="n">
        <v>46281</v>
      </c>
      <c r="B926" s="4" t="inlineStr">
        <is>
          <t>Main branch</t>
        </is>
      </c>
      <c r="C926" s="4" t="inlineStr">
        <is>
          <t>Main 2</t>
        </is>
      </c>
      <c r="D926" s="4" t="inlineStr">
        <is>
          <t>Dr Noura Al Subaie</t>
        </is>
      </c>
      <c r="E926" s="4" t="inlineStr">
        <is>
          <t>P-2581</t>
        </is>
      </c>
      <c r="F926" s="4" t="inlineStr">
        <is>
          <t>Returning</t>
        </is>
      </c>
      <c r="G926" s="4" t="inlineStr">
        <is>
          <t>Instagram</t>
        </is>
      </c>
      <c r="H926" s="4" t="inlineStr">
        <is>
          <t>Specialist consultation</t>
        </is>
      </c>
      <c r="I926" s="9">
        <f>IF($H926="","",IFERROR(INDEX('Settings'!$J$10:$J$39,MATCH($H926,'Settings'!$I$10:$I$39,0)),""))</f>
        <v/>
      </c>
      <c r="J926" s="6" t="n">
        <v>1</v>
      </c>
      <c r="K926" s="8" t="n">
        <v>350</v>
      </c>
      <c r="L926" s="8" t="n"/>
      <c r="M926" s="14">
        <f>IF($A926="","",$J926*$K926)</f>
        <v/>
      </c>
      <c r="N926" s="14">
        <f>IF($A926="","",$M926-$L926)</f>
        <v/>
      </c>
      <c r="O926" s="4" t="inlineStr">
        <is>
          <t>Card</t>
        </is>
      </c>
      <c r="P926" s="15">
        <f>IF($A926="","",DATE(YEAR($A926),MONTH($A926),1))</f>
        <v/>
      </c>
      <c r="Q926" s="16">
        <f>IF($H926="","",$J926*IFERROR(INDEX('Settings'!$L$10:$L$39,MATCH($H926,'Settings'!$I$10:$I$39,0)),0))</f>
        <v/>
      </c>
      <c r="R926" s="17">
        <f>IF($A926="","",$A926-WEEKDAY($A926,2)+1)</f>
        <v/>
      </c>
    </row>
    <row r="927">
      <c r="A927" s="5" t="n">
        <v>46281</v>
      </c>
      <c r="B927" s="4" t="inlineStr">
        <is>
          <t>Main branch</t>
        </is>
      </c>
      <c r="C927" s="4" t="inlineStr">
        <is>
          <t>Main 2</t>
        </is>
      </c>
      <c r="D927" s="4" t="inlineStr">
        <is>
          <t>Dr Ahmed Mansour</t>
        </is>
      </c>
      <c r="E927" s="4" t="inlineStr">
        <is>
          <t>P-3282</t>
        </is>
      </c>
      <c r="F927" s="4" t="inlineStr">
        <is>
          <t>Returning</t>
        </is>
      </c>
      <c r="G927" s="4" t="inlineStr">
        <is>
          <t>Google</t>
        </is>
      </c>
      <c r="H927" s="4" t="inlineStr">
        <is>
          <t>Chemical peel</t>
        </is>
      </c>
      <c r="I927" s="9">
        <f>IF($H927="","",IFERROR(INDEX('Settings'!$J$10:$J$39,MATCH($H927,'Settings'!$I$10:$I$39,0)),""))</f>
        <v/>
      </c>
      <c r="J927" s="6" t="n">
        <v>1</v>
      </c>
      <c r="K927" s="8" t="n">
        <v>800</v>
      </c>
      <c r="L927" s="8" t="n">
        <v>40</v>
      </c>
      <c r="M927" s="14">
        <f>IF($A927="","",$J927*$K927)</f>
        <v/>
      </c>
      <c r="N927" s="14">
        <f>IF($A927="","",$M927-$L927)</f>
        <v/>
      </c>
      <c r="O927" s="4" t="inlineStr">
        <is>
          <t>Cash</t>
        </is>
      </c>
      <c r="P927" s="15">
        <f>IF($A927="","",DATE(YEAR($A927),MONTH($A927),1))</f>
        <v/>
      </c>
      <c r="Q927" s="16">
        <f>IF($H927="","",$J927*IFERROR(INDEX('Settings'!$L$10:$L$39,MATCH($H927,'Settings'!$I$10:$I$39,0)),0))</f>
        <v/>
      </c>
      <c r="R927" s="17">
        <f>IF($A927="","",$A927-WEEKDAY($A927,2)+1)</f>
        <v/>
      </c>
    </row>
    <row r="928">
      <c r="A928" s="5" t="n">
        <v>46281</v>
      </c>
      <c r="B928" s="4" t="inlineStr">
        <is>
          <t>Main branch</t>
        </is>
      </c>
      <c r="C928" s="4" t="inlineStr">
        <is>
          <t>Main 3</t>
        </is>
      </c>
      <c r="D928" s="4" t="inlineStr">
        <is>
          <t>Dr Sara Al Harbi</t>
        </is>
      </c>
      <c r="E928" s="4" t="inlineStr">
        <is>
          <t>P-3246</t>
        </is>
      </c>
      <c r="F928" s="4" t="inlineStr">
        <is>
          <t>Returning</t>
        </is>
      </c>
      <c r="G928" s="4" t="inlineStr">
        <is>
          <t>WhatsApp</t>
        </is>
      </c>
      <c r="H928" s="4" t="inlineStr">
        <is>
          <t>Laser session, body</t>
        </is>
      </c>
      <c r="I928" s="9">
        <f>IF($H928="","",IFERROR(INDEX('Settings'!$J$10:$J$39,MATCH($H928,'Settings'!$I$10:$I$39,0)),""))</f>
        <v/>
      </c>
      <c r="J928" s="6" t="n">
        <v>1</v>
      </c>
      <c r="K928" s="8" t="n">
        <v>1200</v>
      </c>
      <c r="L928" s="8" t="n">
        <v>240</v>
      </c>
      <c r="M928" s="14">
        <f>IF($A928="","",$J928*$K928)</f>
        <v/>
      </c>
      <c r="N928" s="14">
        <f>IF($A928="","",$M928-$L928)</f>
        <v/>
      </c>
      <c r="O928" s="4" t="inlineStr">
        <is>
          <t>Payment link</t>
        </is>
      </c>
      <c r="P928" s="15">
        <f>IF($A928="","",DATE(YEAR($A928),MONTH($A928),1))</f>
        <v/>
      </c>
      <c r="Q928" s="16">
        <f>IF($H928="","",$J928*IFERROR(INDEX('Settings'!$L$10:$L$39,MATCH($H928,'Settings'!$I$10:$I$39,0)),0))</f>
        <v/>
      </c>
      <c r="R928" s="17">
        <f>IF($A928="","",$A928-WEEKDAY($A928,2)+1)</f>
        <v/>
      </c>
    </row>
    <row r="929">
      <c r="A929" s="5" t="n">
        <v>46281</v>
      </c>
      <c r="B929" s="4" t="inlineStr">
        <is>
          <t>Main branch</t>
        </is>
      </c>
      <c r="C929" s="4" t="inlineStr">
        <is>
          <t>Main 4</t>
        </is>
      </c>
      <c r="D929" s="4" t="inlineStr">
        <is>
          <t>Dr Sara Al Harbi</t>
        </is>
      </c>
      <c r="E929" s="4" t="inlineStr">
        <is>
          <t>P-2153</t>
        </is>
      </c>
      <c r="F929" s="4" t="inlineStr">
        <is>
          <t>Returning</t>
        </is>
      </c>
      <c r="G929" s="4" t="inlineStr">
        <is>
          <t>Google</t>
        </is>
      </c>
      <c r="H929" s="4" t="inlineStr">
        <is>
          <t>Botulinum toxin</t>
        </is>
      </c>
      <c r="I929" s="9">
        <f>IF($H929="","",IFERROR(INDEX('Settings'!$J$10:$J$39,MATCH($H929,'Settings'!$I$10:$I$39,0)),""))</f>
        <v/>
      </c>
      <c r="J929" s="6" t="n">
        <v>1</v>
      </c>
      <c r="K929" s="8" t="n">
        <v>1500</v>
      </c>
      <c r="L929" s="8" t="n">
        <v>150</v>
      </c>
      <c r="M929" s="14">
        <f>IF($A929="","",$J929*$K929)</f>
        <v/>
      </c>
      <c r="N929" s="14">
        <f>IF($A929="","",$M929-$L929)</f>
        <v/>
      </c>
      <c r="O929" s="4" t="inlineStr">
        <is>
          <t>Card</t>
        </is>
      </c>
      <c r="P929" s="15">
        <f>IF($A929="","",DATE(YEAR($A929),MONTH($A929),1))</f>
        <v/>
      </c>
      <c r="Q929" s="16">
        <f>IF($H929="","",$J929*IFERROR(INDEX('Settings'!$L$10:$L$39,MATCH($H929,'Settings'!$I$10:$I$39,0)),0))</f>
        <v/>
      </c>
      <c r="R929" s="17">
        <f>IF($A929="","",$A929-WEEKDAY($A929,2)+1)</f>
        <v/>
      </c>
    </row>
    <row r="930">
      <c r="A930" s="5" t="n">
        <v>46281</v>
      </c>
      <c r="B930" s="4" t="inlineStr">
        <is>
          <t>North branch</t>
        </is>
      </c>
      <c r="C930" s="4" t="inlineStr">
        <is>
          <t>North 1</t>
        </is>
      </c>
      <c r="D930" s="4" t="inlineStr">
        <is>
          <t>Dr Layla Al Qahtani</t>
        </is>
      </c>
      <c r="E930" s="4" t="inlineStr">
        <is>
          <t>P-2253</t>
        </is>
      </c>
      <c r="F930" s="4" t="inlineStr">
        <is>
          <t>New</t>
        </is>
      </c>
      <c r="G930" s="4" t="inlineStr">
        <is>
          <t>Instagram</t>
        </is>
      </c>
      <c r="H930" s="4" t="inlineStr">
        <is>
          <t>Sunscreen cream</t>
        </is>
      </c>
      <c r="I930" s="9">
        <f>IF($H930="","",IFERROR(INDEX('Settings'!$J$10:$J$39,MATCH($H930,'Settings'!$I$10:$I$39,0)),""))</f>
        <v/>
      </c>
      <c r="J930" s="6" t="n">
        <v>1</v>
      </c>
      <c r="K930" s="8" t="n">
        <v>120</v>
      </c>
      <c r="L930" s="8" t="n">
        <v>20</v>
      </c>
      <c r="M930" s="14">
        <f>IF($A930="","",$J930*$K930)</f>
        <v/>
      </c>
      <c r="N930" s="14">
        <f>IF($A930="","",$M930-$L930)</f>
        <v/>
      </c>
      <c r="O930" s="4" t="inlineStr">
        <is>
          <t>Card</t>
        </is>
      </c>
      <c r="P930" s="15">
        <f>IF($A930="","",DATE(YEAR($A930),MONTH($A930),1))</f>
        <v/>
      </c>
      <c r="Q930" s="16">
        <f>IF($H930="","",$J930*IFERROR(INDEX('Settings'!$L$10:$L$39,MATCH($H930,'Settings'!$I$10:$I$39,0)),0))</f>
        <v/>
      </c>
      <c r="R930" s="17">
        <f>IF($A930="","",$A930-WEEKDAY($A930,2)+1)</f>
        <v/>
      </c>
    </row>
    <row r="931">
      <c r="A931" s="5" t="n">
        <v>46281</v>
      </c>
      <c r="B931" s="4" t="inlineStr">
        <is>
          <t>North branch</t>
        </is>
      </c>
      <c r="C931" s="4" t="inlineStr">
        <is>
          <t>North 1</t>
        </is>
      </c>
      <c r="D931" s="4" t="inlineStr">
        <is>
          <t>Dr Khaled Youssef</t>
        </is>
      </c>
      <c r="E931" s="4" t="inlineStr">
        <is>
          <t>P-2487</t>
        </is>
      </c>
      <c r="F931" s="4" t="inlineStr">
        <is>
          <t>Returning</t>
        </is>
      </c>
      <c r="G931" s="4" t="inlineStr">
        <is>
          <t>Referral</t>
        </is>
      </c>
      <c r="H931" s="4" t="inlineStr">
        <is>
          <t>Laser session, body</t>
        </is>
      </c>
      <c r="I931" s="9">
        <f>IF($H931="","",IFERROR(INDEX('Settings'!$J$10:$J$39,MATCH($H931,'Settings'!$I$10:$I$39,0)),""))</f>
        <v/>
      </c>
      <c r="J931" s="6" t="n">
        <v>1</v>
      </c>
      <c r="K931" s="8" t="n">
        <v>1200</v>
      </c>
      <c r="L931" s="8" t="n"/>
      <c r="M931" s="14">
        <f>IF($A931="","",$J931*$K931)</f>
        <v/>
      </c>
      <c r="N931" s="14">
        <f>IF($A931="","",$M931-$L931)</f>
        <v/>
      </c>
      <c r="O931" s="4" t="inlineStr">
        <is>
          <t>Card</t>
        </is>
      </c>
      <c r="P931" s="15">
        <f>IF($A931="","",DATE(YEAR($A931),MONTH($A931),1))</f>
        <v/>
      </c>
      <c r="Q931" s="16">
        <f>IF($H931="","",$J931*IFERROR(INDEX('Settings'!$L$10:$L$39,MATCH($H931,'Settings'!$I$10:$I$39,0)),0))</f>
        <v/>
      </c>
      <c r="R931" s="17">
        <f>IF($A931="","",$A931-WEEKDAY($A931,2)+1)</f>
        <v/>
      </c>
    </row>
    <row r="932">
      <c r="A932" s="5" t="n">
        <v>46281</v>
      </c>
      <c r="B932" s="4" t="inlineStr">
        <is>
          <t>North branch</t>
        </is>
      </c>
      <c r="C932" s="4" t="inlineStr">
        <is>
          <t>North 1</t>
        </is>
      </c>
      <c r="D932" s="4" t="inlineStr">
        <is>
          <t>Dr Khaled Youssef</t>
        </is>
      </c>
      <c r="E932" s="4" t="inlineStr">
        <is>
          <t>P-2818</t>
        </is>
      </c>
      <c r="F932" s="4" t="inlineStr">
        <is>
          <t>Returning</t>
        </is>
      </c>
      <c r="G932" s="4" t="inlineStr">
        <is>
          <t>Walk-in</t>
        </is>
      </c>
      <c r="H932" s="4" t="inlineStr">
        <is>
          <t>Follow-up visit</t>
        </is>
      </c>
      <c r="I932" s="9">
        <f>IF($H932="","",IFERROR(INDEX('Settings'!$J$10:$J$39,MATCH($H932,'Settings'!$I$10:$I$39,0)),""))</f>
        <v/>
      </c>
      <c r="J932" s="6" t="n">
        <v>1</v>
      </c>
      <c r="K932" s="8" t="n">
        <v>150</v>
      </c>
      <c r="L932" s="8" t="n"/>
      <c r="M932" s="14">
        <f>IF($A932="","",$J932*$K932)</f>
        <v/>
      </c>
      <c r="N932" s="14">
        <f>IF($A932="","",$M932-$L932)</f>
        <v/>
      </c>
      <c r="O932" s="4" t="inlineStr">
        <is>
          <t>Card</t>
        </is>
      </c>
      <c r="P932" s="15">
        <f>IF($A932="","",DATE(YEAR($A932),MONTH($A932),1))</f>
        <v/>
      </c>
      <c r="Q932" s="16">
        <f>IF($H932="","",$J932*IFERROR(INDEX('Settings'!$L$10:$L$39,MATCH($H932,'Settings'!$I$10:$I$39,0)),0))</f>
        <v/>
      </c>
      <c r="R932" s="17">
        <f>IF($A932="","",$A932-WEEKDAY($A932,2)+1)</f>
        <v/>
      </c>
    </row>
    <row r="933">
      <c r="A933" s="5" t="n">
        <v>46281</v>
      </c>
      <c r="B933" s="4" t="inlineStr">
        <is>
          <t>North branch</t>
        </is>
      </c>
      <c r="C933" s="4" t="inlineStr">
        <is>
          <t>North 2</t>
        </is>
      </c>
      <c r="D933" s="4" t="inlineStr">
        <is>
          <t>Dr Layla Al Qahtani</t>
        </is>
      </c>
      <c r="E933" s="4" t="inlineStr">
        <is>
          <t>P-2668</t>
        </is>
      </c>
      <c r="F933" s="4" t="inlineStr">
        <is>
          <t>Returning</t>
        </is>
      </c>
      <c r="G933" s="4" t="inlineStr">
        <is>
          <t>Instagram</t>
        </is>
      </c>
      <c r="H933" s="4" t="inlineStr">
        <is>
          <t>Facial cleansing</t>
        </is>
      </c>
      <c r="I933" s="9">
        <f>IF($H933="","",IFERROR(INDEX('Settings'!$J$10:$J$39,MATCH($H933,'Settings'!$I$10:$I$39,0)),""))</f>
        <v/>
      </c>
      <c r="J933" s="6" t="n">
        <v>1</v>
      </c>
      <c r="K933" s="8" t="n">
        <v>400</v>
      </c>
      <c r="L933" s="8" t="n">
        <v>60</v>
      </c>
      <c r="M933" s="14">
        <f>IF($A933="","",$J933*$K933)</f>
        <v/>
      </c>
      <c r="N933" s="14">
        <f>IF($A933="","",$M933-$L933)</f>
        <v/>
      </c>
      <c r="O933" s="4" t="inlineStr">
        <is>
          <t>Card</t>
        </is>
      </c>
      <c r="P933" s="15">
        <f>IF($A933="","",DATE(YEAR($A933),MONTH($A933),1))</f>
        <v/>
      </c>
      <c r="Q933" s="16">
        <f>IF($H933="","",$J933*IFERROR(INDEX('Settings'!$L$10:$L$39,MATCH($H933,'Settings'!$I$10:$I$39,0)),0))</f>
        <v/>
      </c>
      <c r="R933" s="17">
        <f>IF($A933="","",$A933-WEEKDAY($A933,2)+1)</f>
        <v/>
      </c>
    </row>
    <row r="934">
      <c r="A934" s="5" t="n">
        <v>46281</v>
      </c>
      <c r="B934" s="4" t="inlineStr">
        <is>
          <t>North branch</t>
        </is>
      </c>
      <c r="C934" s="4" t="inlineStr">
        <is>
          <t>North 2</t>
        </is>
      </c>
      <c r="D934" s="4" t="inlineStr">
        <is>
          <t>Dr Khaled Youssef</t>
        </is>
      </c>
      <c r="E934" s="4" t="inlineStr">
        <is>
          <t>P-2178</t>
        </is>
      </c>
      <c r="F934" s="4" t="inlineStr">
        <is>
          <t>Returning</t>
        </is>
      </c>
      <c r="G934" s="4" t="inlineStr">
        <is>
          <t>Walk-in</t>
        </is>
      </c>
      <c r="H934" s="4" t="inlineStr">
        <is>
          <t>Follow-up visit</t>
        </is>
      </c>
      <c r="I934" s="9">
        <f>IF($H934="","",IFERROR(INDEX('Settings'!$J$10:$J$39,MATCH($H934,'Settings'!$I$10:$I$39,0)),""))</f>
        <v/>
      </c>
      <c r="J934" s="6" t="n">
        <v>1</v>
      </c>
      <c r="K934" s="8" t="n">
        <v>150</v>
      </c>
      <c r="L934" s="8" t="n"/>
      <c r="M934" s="14">
        <f>IF($A934="","",$J934*$K934)</f>
        <v/>
      </c>
      <c r="N934" s="14">
        <f>IF($A934="","",$M934-$L934)</f>
        <v/>
      </c>
      <c r="O934" s="4" t="inlineStr">
        <is>
          <t>Transfer</t>
        </is>
      </c>
      <c r="P934" s="15">
        <f>IF($A934="","",DATE(YEAR($A934),MONTH($A934),1))</f>
        <v/>
      </c>
      <c r="Q934" s="16">
        <f>IF($H934="","",$J934*IFERROR(INDEX('Settings'!$L$10:$L$39,MATCH($H934,'Settings'!$I$10:$I$39,0)),0))</f>
        <v/>
      </c>
      <c r="R934" s="17">
        <f>IF($A934="","",$A934-WEEKDAY($A934,2)+1)</f>
        <v/>
      </c>
    </row>
    <row r="935">
      <c r="A935" s="5" t="n">
        <v>46282</v>
      </c>
      <c r="B935" s="4" t="inlineStr">
        <is>
          <t>Main branch</t>
        </is>
      </c>
      <c r="C935" s="4" t="inlineStr">
        <is>
          <t>Main 1</t>
        </is>
      </c>
      <c r="D935" s="4" t="inlineStr">
        <is>
          <t>Dr Noura Al Subaie</t>
        </is>
      </c>
      <c r="E935" s="4" t="inlineStr">
        <is>
          <t>P-2258</t>
        </is>
      </c>
      <c r="F935" s="4" t="inlineStr">
        <is>
          <t>Returning</t>
        </is>
      </c>
      <c r="G935" s="4" t="inlineStr">
        <is>
          <t>Walk-in</t>
        </is>
      </c>
      <c r="H935" s="4" t="inlineStr">
        <is>
          <t>Physiotherapy session</t>
        </is>
      </c>
      <c r="I935" s="9">
        <f>IF($H935="","",IFERROR(INDEX('Settings'!$J$10:$J$39,MATCH($H935,'Settings'!$I$10:$I$39,0)),""))</f>
        <v/>
      </c>
      <c r="J935" s="6" t="n">
        <v>1</v>
      </c>
      <c r="K935" s="8" t="n">
        <v>300</v>
      </c>
      <c r="L935" s="8" t="n"/>
      <c r="M935" s="14">
        <f>IF($A935="","",$J935*$K935)</f>
        <v/>
      </c>
      <c r="N935" s="14">
        <f>IF($A935="","",$M935-$L935)</f>
        <v/>
      </c>
      <c r="O935" s="4" t="inlineStr">
        <is>
          <t>Cash</t>
        </is>
      </c>
      <c r="P935" s="15">
        <f>IF($A935="","",DATE(YEAR($A935),MONTH($A935),1))</f>
        <v/>
      </c>
      <c r="Q935" s="16">
        <f>IF($H935="","",$J935*IFERROR(INDEX('Settings'!$L$10:$L$39,MATCH($H935,'Settings'!$I$10:$I$39,0)),0))</f>
        <v/>
      </c>
      <c r="R935" s="17">
        <f>IF($A935="","",$A935-WEEKDAY($A935,2)+1)</f>
        <v/>
      </c>
    </row>
    <row r="936">
      <c r="A936" s="5" t="n">
        <v>46282</v>
      </c>
      <c r="B936" s="4" t="inlineStr">
        <is>
          <t>Main branch</t>
        </is>
      </c>
      <c r="C936" s="4" t="inlineStr">
        <is>
          <t>Main 1</t>
        </is>
      </c>
      <c r="D936" s="4" t="inlineStr">
        <is>
          <t>Dr Ahmed Mansour</t>
        </is>
      </c>
      <c r="E936" s="4" t="inlineStr">
        <is>
          <t>P-3033</t>
        </is>
      </c>
      <c r="F936" s="4" t="inlineStr">
        <is>
          <t>New</t>
        </is>
      </c>
      <c r="G936" s="4" t="inlineStr">
        <is>
          <t>Referral</t>
        </is>
      </c>
      <c r="H936" s="4" t="inlineStr">
        <is>
          <t>Sunscreen cream</t>
        </is>
      </c>
      <c r="I936" s="9">
        <f>IF($H936="","",IFERROR(INDEX('Settings'!$J$10:$J$39,MATCH($H936,'Settings'!$I$10:$I$39,0)),""))</f>
        <v/>
      </c>
      <c r="J936" s="6" t="n">
        <v>1</v>
      </c>
      <c r="K936" s="8" t="n">
        <v>120</v>
      </c>
      <c r="L936" s="8" t="n"/>
      <c r="M936" s="14">
        <f>IF($A936="","",$J936*$K936)</f>
        <v/>
      </c>
      <c r="N936" s="14">
        <f>IF($A936="","",$M936-$L936)</f>
        <v/>
      </c>
      <c r="O936" s="4" t="inlineStr">
        <is>
          <t>Card</t>
        </is>
      </c>
      <c r="P936" s="15">
        <f>IF($A936="","",DATE(YEAR($A936),MONTH($A936),1))</f>
        <v/>
      </c>
      <c r="Q936" s="16">
        <f>IF($H936="","",$J936*IFERROR(INDEX('Settings'!$L$10:$L$39,MATCH($H936,'Settings'!$I$10:$I$39,0)),0))</f>
        <v/>
      </c>
      <c r="R936" s="17">
        <f>IF($A936="","",$A936-WEEKDAY($A936,2)+1)</f>
        <v/>
      </c>
    </row>
    <row r="937">
      <c r="A937" s="5" t="n">
        <v>46282</v>
      </c>
      <c r="B937" s="4" t="inlineStr">
        <is>
          <t>Main branch</t>
        </is>
      </c>
      <c r="C937" s="4" t="inlineStr">
        <is>
          <t>Main 1</t>
        </is>
      </c>
      <c r="D937" s="4" t="inlineStr">
        <is>
          <t>Dr Noura Al Subaie</t>
        </is>
      </c>
      <c r="E937" s="4" t="inlineStr">
        <is>
          <t>P-2141</t>
        </is>
      </c>
      <c r="F937" s="4" t="inlineStr">
        <is>
          <t>Returning</t>
        </is>
      </c>
      <c r="G937" s="4" t="inlineStr">
        <is>
          <t>WhatsApp</t>
        </is>
      </c>
      <c r="H937" s="4" t="inlineStr">
        <is>
          <t>Specialist consultation</t>
        </is>
      </c>
      <c r="I937" s="9">
        <f>IF($H937="","",IFERROR(INDEX('Settings'!$J$10:$J$39,MATCH($H937,'Settings'!$I$10:$I$39,0)),""))</f>
        <v/>
      </c>
      <c r="J937" s="6" t="n">
        <v>1</v>
      </c>
      <c r="K937" s="8" t="n">
        <v>350</v>
      </c>
      <c r="L937" s="8" t="n"/>
      <c r="M937" s="14">
        <f>IF($A937="","",$J937*$K937)</f>
        <v/>
      </c>
      <c r="N937" s="14">
        <f>IF($A937="","",$M937-$L937)</f>
        <v/>
      </c>
      <c r="O937" s="4" t="inlineStr">
        <is>
          <t>Insurance</t>
        </is>
      </c>
      <c r="P937" s="15">
        <f>IF($A937="","",DATE(YEAR($A937),MONTH($A937),1))</f>
        <v/>
      </c>
      <c r="Q937" s="16">
        <f>IF($H937="","",$J937*IFERROR(INDEX('Settings'!$L$10:$L$39,MATCH($H937,'Settings'!$I$10:$I$39,0)),0))</f>
        <v/>
      </c>
      <c r="R937" s="17">
        <f>IF($A937="","",$A937-WEEKDAY($A937,2)+1)</f>
        <v/>
      </c>
    </row>
    <row r="938">
      <c r="A938" s="5" t="n">
        <v>46282</v>
      </c>
      <c r="B938" s="4" t="inlineStr">
        <is>
          <t>Main branch</t>
        </is>
      </c>
      <c r="C938" s="4" t="inlineStr">
        <is>
          <t>Main 2</t>
        </is>
      </c>
      <c r="D938" s="4" t="inlineStr">
        <is>
          <t>Dr Sara Al Harbi</t>
        </is>
      </c>
      <c r="E938" s="4" t="inlineStr">
        <is>
          <t>P-2877</t>
        </is>
      </c>
      <c r="F938" s="4" t="inlineStr">
        <is>
          <t>New</t>
        </is>
      </c>
      <c r="G938" s="4" t="inlineStr">
        <is>
          <t>Walk-in</t>
        </is>
      </c>
      <c r="H938" s="4" t="inlineStr">
        <is>
          <t>Sunscreen cream</t>
        </is>
      </c>
      <c r="I938" s="9">
        <f>IF($H938="","",IFERROR(INDEX('Settings'!$J$10:$J$39,MATCH($H938,'Settings'!$I$10:$I$39,0)),""))</f>
        <v/>
      </c>
      <c r="J938" s="6" t="n">
        <v>1</v>
      </c>
      <c r="K938" s="8" t="n">
        <v>120</v>
      </c>
      <c r="L938" s="8" t="n"/>
      <c r="M938" s="14">
        <f>IF($A938="","",$J938*$K938)</f>
        <v/>
      </c>
      <c r="N938" s="14">
        <f>IF($A938="","",$M938-$L938)</f>
        <v/>
      </c>
      <c r="O938" s="4" t="inlineStr">
        <is>
          <t>Card</t>
        </is>
      </c>
      <c r="P938" s="15">
        <f>IF($A938="","",DATE(YEAR($A938),MONTH($A938),1))</f>
        <v/>
      </c>
      <c r="Q938" s="16">
        <f>IF($H938="","",$J938*IFERROR(INDEX('Settings'!$L$10:$L$39,MATCH($H938,'Settings'!$I$10:$I$39,0)),0))</f>
        <v/>
      </c>
      <c r="R938" s="17">
        <f>IF($A938="","",$A938-WEEKDAY($A938,2)+1)</f>
        <v/>
      </c>
    </row>
    <row r="939">
      <c r="A939" s="5" t="n">
        <v>46282</v>
      </c>
      <c r="B939" s="4" t="inlineStr">
        <is>
          <t>Main branch</t>
        </is>
      </c>
      <c r="C939" s="4" t="inlineStr">
        <is>
          <t>Main 3</t>
        </is>
      </c>
      <c r="D939" s="4" t="inlineStr">
        <is>
          <t>Dr Ahmed Mansour</t>
        </is>
      </c>
      <c r="E939" s="4" t="inlineStr">
        <is>
          <t>P-2744</t>
        </is>
      </c>
      <c r="F939" s="4" t="inlineStr">
        <is>
          <t>Returning</t>
        </is>
      </c>
      <c r="G939" s="4" t="inlineStr">
        <is>
          <t>Google</t>
        </is>
      </c>
      <c r="H939" s="4" t="inlineStr">
        <is>
          <t>Chemical peel</t>
        </is>
      </c>
      <c r="I939" s="9">
        <f>IF($H939="","",IFERROR(INDEX('Settings'!$J$10:$J$39,MATCH($H939,'Settings'!$I$10:$I$39,0)),""))</f>
        <v/>
      </c>
      <c r="J939" s="6" t="n">
        <v>1</v>
      </c>
      <c r="K939" s="8" t="n">
        <v>800</v>
      </c>
      <c r="L939" s="8" t="n"/>
      <c r="M939" s="14">
        <f>IF($A939="","",$J939*$K939)</f>
        <v/>
      </c>
      <c r="N939" s="14">
        <f>IF($A939="","",$M939-$L939)</f>
        <v/>
      </c>
      <c r="O939" s="4" t="inlineStr">
        <is>
          <t>Card</t>
        </is>
      </c>
      <c r="P939" s="15">
        <f>IF($A939="","",DATE(YEAR($A939),MONTH($A939),1))</f>
        <v/>
      </c>
      <c r="Q939" s="16">
        <f>IF($H939="","",$J939*IFERROR(INDEX('Settings'!$L$10:$L$39,MATCH($H939,'Settings'!$I$10:$I$39,0)),0))</f>
        <v/>
      </c>
      <c r="R939" s="17">
        <f>IF($A939="","",$A939-WEEKDAY($A939,2)+1)</f>
        <v/>
      </c>
    </row>
    <row r="940">
      <c r="A940" s="5" t="n">
        <v>46282</v>
      </c>
      <c r="B940" s="4" t="inlineStr">
        <is>
          <t>Main branch</t>
        </is>
      </c>
      <c r="C940" s="4" t="inlineStr">
        <is>
          <t>Main 3</t>
        </is>
      </c>
      <c r="D940" s="4" t="inlineStr">
        <is>
          <t>Dr Sara Al Harbi</t>
        </is>
      </c>
      <c r="E940" s="4" t="inlineStr">
        <is>
          <t>P-3203</t>
        </is>
      </c>
      <c r="F940" s="4" t="inlineStr">
        <is>
          <t>Returning</t>
        </is>
      </c>
      <c r="G940" s="4" t="inlineStr">
        <is>
          <t>Google</t>
        </is>
      </c>
      <c r="H940" s="4" t="inlineStr">
        <is>
          <t>Physiotherapy session</t>
        </is>
      </c>
      <c r="I940" s="9">
        <f>IF($H940="","",IFERROR(INDEX('Settings'!$J$10:$J$39,MATCH($H940,'Settings'!$I$10:$I$39,0)),""))</f>
        <v/>
      </c>
      <c r="J940" s="6" t="n">
        <v>1</v>
      </c>
      <c r="K940" s="8" t="n">
        <v>300</v>
      </c>
      <c r="L940" s="8" t="n">
        <v>60</v>
      </c>
      <c r="M940" s="14">
        <f>IF($A940="","",$J940*$K940)</f>
        <v/>
      </c>
      <c r="N940" s="14">
        <f>IF($A940="","",$M940-$L940)</f>
        <v/>
      </c>
      <c r="O940" s="4" t="inlineStr">
        <is>
          <t>Cash</t>
        </is>
      </c>
      <c r="P940" s="15">
        <f>IF($A940="","",DATE(YEAR($A940),MONTH($A940),1))</f>
        <v/>
      </c>
      <c r="Q940" s="16">
        <f>IF($H940="","",$J940*IFERROR(INDEX('Settings'!$L$10:$L$39,MATCH($H940,'Settings'!$I$10:$I$39,0)),0))</f>
        <v/>
      </c>
      <c r="R940" s="17">
        <f>IF($A940="","",$A940-WEEKDAY($A940,2)+1)</f>
        <v/>
      </c>
    </row>
    <row r="941">
      <c r="A941" s="5" t="n">
        <v>46282</v>
      </c>
      <c r="B941" s="4" t="inlineStr">
        <is>
          <t>Main branch</t>
        </is>
      </c>
      <c r="C941" s="4" t="inlineStr">
        <is>
          <t>Main 3</t>
        </is>
      </c>
      <c r="D941" s="4" t="inlineStr">
        <is>
          <t>Dr Noura Al Subaie</t>
        </is>
      </c>
      <c r="E941" s="4" t="inlineStr">
        <is>
          <t>P-2131</t>
        </is>
      </c>
      <c r="F941" s="4" t="inlineStr">
        <is>
          <t>Returning</t>
        </is>
      </c>
      <c r="G941" s="4" t="inlineStr">
        <is>
          <t>Google</t>
        </is>
      </c>
      <c r="H941" s="4" t="inlineStr">
        <is>
          <t>Botulinum toxin</t>
        </is>
      </c>
      <c r="I941" s="9">
        <f>IF($H941="","",IFERROR(INDEX('Settings'!$J$10:$J$39,MATCH($H941,'Settings'!$I$10:$I$39,0)),""))</f>
        <v/>
      </c>
      <c r="J941" s="6" t="n">
        <v>1</v>
      </c>
      <c r="K941" s="8" t="n">
        <v>1500</v>
      </c>
      <c r="L941" s="8" t="n"/>
      <c r="M941" s="14">
        <f>IF($A941="","",$J941*$K941)</f>
        <v/>
      </c>
      <c r="N941" s="14">
        <f>IF($A941="","",$M941-$L941)</f>
        <v/>
      </c>
      <c r="O941" s="4" t="inlineStr">
        <is>
          <t>Card</t>
        </is>
      </c>
      <c r="P941" s="15">
        <f>IF($A941="","",DATE(YEAR($A941),MONTH($A941),1))</f>
        <v/>
      </c>
      <c r="Q941" s="16">
        <f>IF($H941="","",$J941*IFERROR(INDEX('Settings'!$L$10:$L$39,MATCH($H941,'Settings'!$I$10:$I$39,0)),0))</f>
        <v/>
      </c>
      <c r="R941" s="17">
        <f>IF($A941="","",$A941-WEEKDAY($A941,2)+1)</f>
        <v/>
      </c>
    </row>
    <row r="942">
      <c r="A942" s="5" t="n">
        <v>46282</v>
      </c>
      <c r="B942" s="4" t="inlineStr">
        <is>
          <t>Main branch</t>
        </is>
      </c>
      <c r="C942" s="4" t="inlineStr">
        <is>
          <t>Main 3</t>
        </is>
      </c>
      <c r="D942" s="4" t="inlineStr">
        <is>
          <t>Dr Noura Al Subaie</t>
        </is>
      </c>
      <c r="E942" s="4" t="inlineStr">
        <is>
          <t>P-3298</t>
        </is>
      </c>
      <c r="F942" s="4" t="inlineStr">
        <is>
          <t>Returning</t>
        </is>
      </c>
      <c r="G942" s="4" t="inlineStr">
        <is>
          <t>WhatsApp</t>
        </is>
      </c>
      <c r="H942" s="4" t="inlineStr">
        <is>
          <t>Specialist consultation</t>
        </is>
      </c>
      <c r="I942" s="9">
        <f>IF($H942="","",IFERROR(INDEX('Settings'!$J$10:$J$39,MATCH($H942,'Settings'!$I$10:$I$39,0)),""))</f>
        <v/>
      </c>
      <c r="J942" s="6" t="n">
        <v>1</v>
      </c>
      <c r="K942" s="8" t="n">
        <v>350</v>
      </c>
      <c r="L942" s="8" t="n"/>
      <c r="M942" s="14">
        <f>IF($A942="","",$J942*$K942)</f>
        <v/>
      </c>
      <c r="N942" s="14">
        <f>IF($A942="","",$M942-$L942)</f>
        <v/>
      </c>
      <c r="O942" s="4" t="inlineStr">
        <is>
          <t>Insurance</t>
        </is>
      </c>
      <c r="P942" s="15">
        <f>IF($A942="","",DATE(YEAR($A942),MONTH($A942),1))</f>
        <v/>
      </c>
      <c r="Q942" s="16">
        <f>IF($H942="","",$J942*IFERROR(INDEX('Settings'!$L$10:$L$39,MATCH($H942,'Settings'!$I$10:$I$39,0)),0))</f>
        <v/>
      </c>
      <c r="R942" s="17">
        <f>IF($A942="","",$A942-WEEKDAY($A942,2)+1)</f>
        <v/>
      </c>
    </row>
    <row r="943">
      <c r="A943" s="5" t="n">
        <v>46282</v>
      </c>
      <c r="B943" s="4" t="inlineStr">
        <is>
          <t>North branch</t>
        </is>
      </c>
      <c r="C943" s="4" t="inlineStr">
        <is>
          <t>North 1</t>
        </is>
      </c>
      <c r="D943" s="4" t="inlineStr">
        <is>
          <t>Dr Layla Al Qahtani</t>
        </is>
      </c>
      <c r="E943" s="4" t="inlineStr">
        <is>
          <t>P-2275</t>
        </is>
      </c>
      <c r="F943" s="4" t="inlineStr">
        <is>
          <t>Returning</t>
        </is>
      </c>
      <c r="G943" s="4" t="inlineStr">
        <is>
          <t>Referral</t>
        </is>
      </c>
      <c r="H943" s="4" t="inlineStr">
        <is>
          <t>Follow-up visit</t>
        </is>
      </c>
      <c r="I943" s="9">
        <f>IF($H943="","",IFERROR(INDEX('Settings'!$J$10:$J$39,MATCH($H943,'Settings'!$I$10:$I$39,0)),""))</f>
        <v/>
      </c>
      <c r="J943" s="6" t="n">
        <v>1</v>
      </c>
      <c r="K943" s="8" t="n">
        <v>150</v>
      </c>
      <c r="L943" s="8" t="n"/>
      <c r="M943" s="14">
        <f>IF($A943="","",$J943*$K943)</f>
        <v/>
      </c>
      <c r="N943" s="14">
        <f>IF($A943="","",$M943-$L943)</f>
        <v/>
      </c>
      <c r="O943" s="4" t="inlineStr">
        <is>
          <t>Payment link</t>
        </is>
      </c>
      <c r="P943" s="15">
        <f>IF($A943="","",DATE(YEAR($A943),MONTH($A943),1))</f>
        <v/>
      </c>
      <c r="Q943" s="16">
        <f>IF($H943="","",$J943*IFERROR(INDEX('Settings'!$L$10:$L$39,MATCH($H943,'Settings'!$I$10:$I$39,0)),0))</f>
        <v/>
      </c>
      <c r="R943" s="17">
        <f>IF($A943="","",$A943-WEEKDAY($A943,2)+1)</f>
        <v/>
      </c>
    </row>
    <row r="944">
      <c r="A944" s="5" t="n">
        <v>46282</v>
      </c>
      <c r="B944" s="4" t="inlineStr">
        <is>
          <t>North branch</t>
        </is>
      </c>
      <c r="C944" s="4" t="inlineStr">
        <is>
          <t>North 1</t>
        </is>
      </c>
      <c r="D944" s="4" t="inlineStr">
        <is>
          <t>Dr Mohamed Adel</t>
        </is>
      </c>
      <c r="E944" s="4" t="inlineStr">
        <is>
          <t>P-3379</t>
        </is>
      </c>
      <c r="F944" s="4" t="inlineStr">
        <is>
          <t>Returning</t>
        </is>
      </c>
      <c r="G944" s="4" t="inlineStr">
        <is>
          <t>WhatsApp</t>
        </is>
      </c>
      <c r="H944" s="4" t="inlineStr">
        <is>
          <t>Filler injection</t>
        </is>
      </c>
      <c r="I944" s="9">
        <f>IF($H944="","",IFERROR(INDEX('Settings'!$J$10:$J$39,MATCH($H944,'Settings'!$I$10:$I$39,0)),""))</f>
        <v/>
      </c>
      <c r="J944" s="6" t="n">
        <v>1</v>
      </c>
      <c r="K944" s="8" t="n">
        <v>1800</v>
      </c>
      <c r="L944" s="8" t="n"/>
      <c r="M944" s="14">
        <f>IF($A944="","",$J944*$K944)</f>
        <v/>
      </c>
      <c r="N944" s="14">
        <f>IF($A944="","",$M944-$L944)</f>
        <v/>
      </c>
      <c r="O944" s="4" t="inlineStr">
        <is>
          <t>Card</t>
        </is>
      </c>
      <c r="P944" s="15">
        <f>IF($A944="","",DATE(YEAR($A944),MONTH($A944),1))</f>
        <v/>
      </c>
      <c r="Q944" s="16">
        <f>IF($H944="","",$J944*IFERROR(INDEX('Settings'!$L$10:$L$39,MATCH($H944,'Settings'!$I$10:$I$39,0)),0))</f>
        <v/>
      </c>
      <c r="R944" s="17">
        <f>IF($A944="","",$A944-WEEKDAY($A944,2)+1)</f>
        <v/>
      </c>
    </row>
    <row r="945">
      <c r="A945" s="5" t="n">
        <v>46282</v>
      </c>
      <c r="B945" s="4" t="inlineStr">
        <is>
          <t>North branch</t>
        </is>
      </c>
      <c r="C945" s="4" t="inlineStr">
        <is>
          <t>North 1</t>
        </is>
      </c>
      <c r="D945" s="4" t="inlineStr">
        <is>
          <t>Dr Layla Al Qahtani</t>
        </is>
      </c>
      <c r="E945" s="4" t="inlineStr">
        <is>
          <t>P-2571</t>
        </is>
      </c>
      <c r="F945" s="4" t="inlineStr">
        <is>
          <t>Returning</t>
        </is>
      </c>
      <c r="G945" s="4" t="inlineStr">
        <is>
          <t>WhatsApp</t>
        </is>
      </c>
      <c r="H945" s="4" t="inlineStr">
        <is>
          <t>Filler injection</t>
        </is>
      </c>
      <c r="I945" s="9">
        <f>IF($H945="","",IFERROR(INDEX('Settings'!$J$10:$J$39,MATCH($H945,'Settings'!$I$10:$I$39,0)),""))</f>
        <v/>
      </c>
      <c r="J945" s="6" t="n">
        <v>1</v>
      </c>
      <c r="K945" s="8" t="n">
        <v>1800</v>
      </c>
      <c r="L945" s="8" t="n"/>
      <c r="M945" s="14">
        <f>IF($A945="","",$J945*$K945)</f>
        <v/>
      </c>
      <c r="N945" s="14">
        <f>IF($A945="","",$M945-$L945)</f>
        <v/>
      </c>
      <c r="O945" s="4" t="inlineStr">
        <is>
          <t>Cash</t>
        </is>
      </c>
      <c r="P945" s="15">
        <f>IF($A945="","",DATE(YEAR($A945),MONTH($A945),1))</f>
        <v/>
      </c>
      <c r="Q945" s="16">
        <f>IF($H945="","",$J945*IFERROR(INDEX('Settings'!$L$10:$L$39,MATCH($H945,'Settings'!$I$10:$I$39,0)),0))</f>
        <v/>
      </c>
      <c r="R945" s="17">
        <f>IF($A945="","",$A945-WEEKDAY($A945,2)+1)</f>
        <v/>
      </c>
    </row>
    <row r="946">
      <c r="A946" s="5" t="n">
        <v>46282</v>
      </c>
      <c r="B946" s="4" t="inlineStr">
        <is>
          <t>North branch</t>
        </is>
      </c>
      <c r="C946" s="4" t="inlineStr">
        <is>
          <t>North 2</t>
        </is>
      </c>
      <c r="D946" s="4" t="inlineStr">
        <is>
          <t>Dr Mohamed Adel</t>
        </is>
      </c>
      <c r="E946" s="4" t="inlineStr">
        <is>
          <t>P-2902</t>
        </is>
      </c>
      <c r="F946" s="4" t="inlineStr">
        <is>
          <t>Returning</t>
        </is>
      </c>
      <c r="G946" s="4" t="inlineStr">
        <is>
          <t>Walk-in</t>
        </is>
      </c>
      <c r="H946" s="4" t="inlineStr">
        <is>
          <t>Sunscreen cream</t>
        </is>
      </c>
      <c r="I946" s="9">
        <f>IF($H946="","",IFERROR(INDEX('Settings'!$J$10:$J$39,MATCH($H946,'Settings'!$I$10:$I$39,0)),""))</f>
        <v/>
      </c>
      <c r="J946" s="6" t="n">
        <v>1</v>
      </c>
      <c r="K946" s="8" t="n">
        <v>120</v>
      </c>
      <c r="L946" s="8" t="n"/>
      <c r="M946" s="14">
        <f>IF($A946="","",$J946*$K946)</f>
        <v/>
      </c>
      <c r="N946" s="14">
        <f>IF($A946="","",$M946-$L946)</f>
        <v/>
      </c>
      <c r="O946" s="4" t="inlineStr">
        <is>
          <t>Transfer</t>
        </is>
      </c>
      <c r="P946" s="15">
        <f>IF($A946="","",DATE(YEAR($A946),MONTH($A946),1))</f>
        <v/>
      </c>
      <c r="Q946" s="16">
        <f>IF($H946="","",$J946*IFERROR(INDEX('Settings'!$L$10:$L$39,MATCH($H946,'Settings'!$I$10:$I$39,0)),0))</f>
        <v/>
      </c>
      <c r="R946" s="17">
        <f>IF($A946="","",$A946-WEEKDAY($A946,2)+1)</f>
        <v/>
      </c>
    </row>
    <row r="947">
      <c r="A947" s="5" t="n">
        <v>46282</v>
      </c>
      <c r="B947" s="4" t="inlineStr">
        <is>
          <t>North branch</t>
        </is>
      </c>
      <c r="C947" s="4" t="inlineStr">
        <is>
          <t>North 2</t>
        </is>
      </c>
      <c r="D947" s="4" t="inlineStr">
        <is>
          <t>Dr Layla Al Qahtani</t>
        </is>
      </c>
      <c r="E947" s="4" t="inlineStr">
        <is>
          <t>P-2197</t>
        </is>
      </c>
      <c r="F947" s="4" t="inlineStr">
        <is>
          <t>Returning</t>
        </is>
      </c>
      <c r="G947" s="4" t="inlineStr">
        <is>
          <t>Instagram</t>
        </is>
      </c>
      <c r="H947" s="4" t="inlineStr">
        <is>
          <t>Skin tag removal</t>
        </is>
      </c>
      <c r="I947" s="9">
        <f>IF($H947="","",IFERROR(INDEX('Settings'!$J$10:$J$39,MATCH($H947,'Settings'!$I$10:$I$39,0)),""))</f>
        <v/>
      </c>
      <c r="J947" s="6" t="n">
        <v>1</v>
      </c>
      <c r="K947" s="8" t="n">
        <v>500</v>
      </c>
      <c r="L947" s="8" t="n">
        <v>50</v>
      </c>
      <c r="M947" s="14">
        <f>IF($A947="","",$J947*$K947)</f>
        <v/>
      </c>
      <c r="N947" s="14">
        <f>IF($A947="","",$M947-$L947)</f>
        <v/>
      </c>
      <c r="O947" s="4" t="inlineStr">
        <is>
          <t>Cash</t>
        </is>
      </c>
      <c r="P947" s="15">
        <f>IF($A947="","",DATE(YEAR($A947),MONTH($A947),1))</f>
        <v/>
      </c>
      <c r="Q947" s="16">
        <f>IF($H947="","",$J947*IFERROR(INDEX('Settings'!$L$10:$L$39,MATCH($H947,'Settings'!$I$10:$I$39,0)),0))</f>
        <v/>
      </c>
      <c r="R947" s="17">
        <f>IF($A947="","",$A947-WEEKDAY($A947,2)+1)</f>
        <v/>
      </c>
    </row>
    <row r="948">
      <c r="A948" s="5" t="n">
        <v>46282</v>
      </c>
      <c r="B948" s="4" t="inlineStr">
        <is>
          <t>North branch</t>
        </is>
      </c>
      <c r="C948" s="4" t="inlineStr">
        <is>
          <t>North 2</t>
        </is>
      </c>
      <c r="D948" s="4" t="inlineStr">
        <is>
          <t>Dr Layla Al Qahtani</t>
        </is>
      </c>
      <c r="E948" s="4" t="inlineStr">
        <is>
          <t>P-2975</t>
        </is>
      </c>
      <c r="F948" s="4" t="inlineStr">
        <is>
          <t>Returning</t>
        </is>
      </c>
      <c r="G948" s="4" t="inlineStr">
        <is>
          <t>Referral</t>
        </is>
      </c>
      <c r="H948" s="4" t="inlineStr">
        <is>
          <t>Laser session, body</t>
        </is>
      </c>
      <c r="I948" s="9">
        <f>IF($H948="","",IFERROR(INDEX('Settings'!$J$10:$J$39,MATCH($H948,'Settings'!$I$10:$I$39,0)),""))</f>
        <v/>
      </c>
      <c r="J948" s="6" t="n">
        <v>1</v>
      </c>
      <c r="K948" s="8" t="n">
        <v>1200</v>
      </c>
      <c r="L948" s="8" t="n"/>
      <c r="M948" s="14">
        <f>IF($A948="","",$J948*$K948)</f>
        <v/>
      </c>
      <c r="N948" s="14">
        <f>IF($A948="","",$M948-$L948)</f>
        <v/>
      </c>
      <c r="O948" s="4" t="inlineStr">
        <is>
          <t>Cash</t>
        </is>
      </c>
      <c r="P948" s="15">
        <f>IF($A948="","",DATE(YEAR($A948),MONTH($A948),1))</f>
        <v/>
      </c>
      <c r="Q948" s="16">
        <f>IF($H948="","",$J948*IFERROR(INDEX('Settings'!$L$10:$L$39,MATCH($H948,'Settings'!$I$10:$I$39,0)),0))</f>
        <v/>
      </c>
      <c r="R948" s="17">
        <f>IF($A948="","",$A948-WEEKDAY($A948,2)+1)</f>
        <v/>
      </c>
    </row>
    <row r="949">
      <c r="A949" s="5" t="n">
        <v>46284</v>
      </c>
      <c r="B949" s="4" t="inlineStr">
        <is>
          <t>Main branch</t>
        </is>
      </c>
      <c r="C949" s="4" t="inlineStr">
        <is>
          <t>Main 1</t>
        </is>
      </c>
      <c r="D949" s="4" t="inlineStr">
        <is>
          <t>Dr Ahmed Mansour</t>
        </is>
      </c>
      <c r="E949" s="4" t="inlineStr">
        <is>
          <t>P-2766</t>
        </is>
      </c>
      <c r="F949" s="4" t="inlineStr">
        <is>
          <t>Returning</t>
        </is>
      </c>
      <c r="G949" s="4" t="inlineStr">
        <is>
          <t>Instagram</t>
        </is>
      </c>
      <c r="H949" s="4" t="inlineStr">
        <is>
          <t>Specialist consultation</t>
        </is>
      </c>
      <c r="I949" s="9">
        <f>IF($H949="","",IFERROR(INDEX('Settings'!$J$10:$J$39,MATCH($H949,'Settings'!$I$10:$I$39,0)),""))</f>
        <v/>
      </c>
      <c r="J949" s="6" t="n">
        <v>1</v>
      </c>
      <c r="K949" s="8" t="n">
        <v>350</v>
      </c>
      <c r="L949" s="8" t="n"/>
      <c r="M949" s="14">
        <f>IF($A949="","",$J949*$K949)</f>
        <v/>
      </c>
      <c r="N949" s="14">
        <f>IF($A949="","",$M949-$L949)</f>
        <v/>
      </c>
      <c r="O949" s="4" t="inlineStr">
        <is>
          <t>Cash</t>
        </is>
      </c>
      <c r="P949" s="15">
        <f>IF($A949="","",DATE(YEAR($A949),MONTH($A949),1))</f>
        <v/>
      </c>
      <c r="Q949" s="16">
        <f>IF($H949="","",$J949*IFERROR(INDEX('Settings'!$L$10:$L$39,MATCH($H949,'Settings'!$I$10:$I$39,0)),0))</f>
        <v/>
      </c>
      <c r="R949" s="17">
        <f>IF($A949="","",$A949-WEEKDAY($A949,2)+1)</f>
        <v/>
      </c>
    </row>
    <row r="950">
      <c r="A950" s="5" t="n">
        <v>46284</v>
      </c>
      <c r="B950" s="4" t="inlineStr">
        <is>
          <t>Main branch</t>
        </is>
      </c>
      <c r="C950" s="4" t="inlineStr">
        <is>
          <t>Main 1</t>
        </is>
      </c>
      <c r="D950" s="4" t="inlineStr">
        <is>
          <t>Dr Noura Al Subaie</t>
        </is>
      </c>
      <c r="E950" s="4" t="inlineStr">
        <is>
          <t>P-3285</t>
        </is>
      </c>
      <c r="F950" s="4" t="inlineStr">
        <is>
          <t>Returning</t>
        </is>
      </c>
      <c r="G950" s="4" t="inlineStr">
        <is>
          <t>Referral</t>
        </is>
      </c>
      <c r="H950" s="4" t="inlineStr">
        <is>
          <t>Specialist consultation</t>
        </is>
      </c>
      <c r="I950" s="9">
        <f>IF($H950="","",IFERROR(INDEX('Settings'!$J$10:$J$39,MATCH($H950,'Settings'!$I$10:$I$39,0)),""))</f>
        <v/>
      </c>
      <c r="J950" s="6" t="n">
        <v>1</v>
      </c>
      <c r="K950" s="8" t="n">
        <v>350</v>
      </c>
      <c r="L950" s="8" t="n"/>
      <c r="M950" s="14">
        <f>IF($A950="","",$J950*$K950)</f>
        <v/>
      </c>
      <c r="N950" s="14">
        <f>IF($A950="","",$M950-$L950)</f>
        <v/>
      </c>
      <c r="O950" s="4" t="inlineStr">
        <is>
          <t>Insurance</t>
        </is>
      </c>
      <c r="P950" s="15">
        <f>IF($A950="","",DATE(YEAR($A950),MONTH($A950),1))</f>
        <v/>
      </c>
      <c r="Q950" s="16">
        <f>IF($H950="","",$J950*IFERROR(INDEX('Settings'!$L$10:$L$39,MATCH($H950,'Settings'!$I$10:$I$39,0)),0))</f>
        <v/>
      </c>
      <c r="R950" s="17">
        <f>IF($A950="","",$A950-WEEKDAY($A950,2)+1)</f>
        <v/>
      </c>
    </row>
    <row r="951">
      <c r="A951" s="5" t="n">
        <v>46284</v>
      </c>
      <c r="B951" s="4" t="inlineStr">
        <is>
          <t>Main branch</t>
        </is>
      </c>
      <c r="C951" s="4" t="inlineStr">
        <is>
          <t>Main 3</t>
        </is>
      </c>
      <c r="D951" s="4" t="inlineStr">
        <is>
          <t>Dr Noura Al Subaie</t>
        </is>
      </c>
      <c r="E951" s="4" t="inlineStr">
        <is>
          <t>P-3497</t>
        </is>
      </c>
      <c r="F951" s="4" t="inlineStr">
        <is>
          <t>Returning</t>
        </is>
      </c>
      <c r="G951" s="4" t="inlineStr">
        <is>
          <t>Referral</t>
        </is>
      </c>
      <c r="H951" s="4" t="inlineStr">
        <is>
          <t>Sunscreen cream</t>
        </is>
      </c>
      <c r="I951" s="9">
        <f>IF($H951="","",IFERROR(INDEX('Settings'!$J$10:$J$39,MATCH($H951,'Settings'!$I$10:$I$39,0)),""))</f>
        <v/>
      </c>
      <c r="J951" s="6" t="n">
        <v>1</v>
      </c>
      <c r="K951" s="8" t="n">
        <v>120</v>
      </c>
      <c r="L951" s="8" t="n"/>
      <c r="M951" s="14">
        <f>IF($A951="","",$J951*$K951)</f>
        <v/>
      </c>
      <c r="N951" s="14">
        <f>IF($A951="","",$M951-$L951)</f>
        <v/>
      </c>
      <c r="O951" s="4" t="inlineStr">
        <is>
          <t>Card</t>
        </is>
      </c>
      <c r="P951" s="15">
        <f>IF($A951="","",DATE(YEAR($A951),MONTH($A951),1))</f>
        <v/>
      </c>
      <c r="Q951" s="16">
        <f>IF($H951="","",$J951*IFERROR(INDEX('Settings'!$L$10:$L$39,MATCH($H951,'Settings'!$I$10:$I$39,0)),0))</f>
        <v/>
      </c>
      <c r="R951" s="17">
        <f>IF($A951="","",$A951-WEEKDAY($A951,2)+1)</f>
        <v/>
      </c>
    </row>
    <row r="952">
      <c r="A952" s="5" t="n">
        <v>46284</v>
      </c>
      <c r="B952" s="4" t="inlineStr">
        <is>
          <t>Main branch</t>
        </is>
      </c>
      <c r="C952" s="4" t="inlineStr">
        <is>
          <t>Main 3</t>
        </is>
      </c>
      <c r="D952" s="4" t="inlineStr">
        <is>
          <t>Dr Noura Al Subaie</t>
        </is>
      </c>
      <c r="E952" s="4" t="inlineStr">
        <is>
          <t>P-2430</t>
        </is>
      </c>
      <c r="F952" s="4" t="inlineStr">
        <is>
          <t>New</t>
        </is>
      </c>
      <c r="G952" s="4" t="inlineStr">
        <is>
          <t>Google</t>
        </is>
      </c>
      <c r="H952" s="4" t="inlineStr">
        <is>
          <t>Laser session, face</t>
        </is>
      </c>
      <c r="I952" s="9">
        <f>IF($H952="","",IFERROR(INDEX('Settings'!$J$10:$J$39,MATCH($H952,'Settings'!$I$10:$I$39,0)),""))</f>
        <v/>
      </c>
      <c r="J952" s="6" t="n">
        <v>1</v>
      </c>
      <c r="K952" s="8" t="n">
        <v>600</v>
      </c>
      <c r="L952" s="8" t="n">
        <v>60</v>
      </c>
      <c r="M952" s="14">
        <f>IF($A952="","",$J952*$K952)</f>
        <v/>
      </c>
      <c r="N952" s="14">
        <f>IF($A952="","",$M952-$L952)</f>
        <v/>
      </c>
      <c r="O952" s="4" t="inlineStr">
        <is>
          <t>Insurance</t>
        </is>
      </c>
      <c r="P952" s="15">
        <f>IF($A952="","",DATE(YEAR($A952),MONTH($A952),1))</f>
        <v/>
      </c>
      <c r="Q952" s="16">
        <f>IF($H952="","",$J952*IFERROR(INDEX('Settings'!$L$10:$L$39,MATCH($H952,'Settings'!$I$10:$I$39,0)),0))</f>
        <v/>
      </c>
      <c r="R952" s="17">
        <f>IF($A952="","",$A952-WEEKDAY($A952,2)+1)</f>
        <v/>
      </c>
    </row>
    <row r="953">
      <c r="A953" s="5" t="n">
        <v>46284</v>
      </c>
      <c r="B953" s="4" t="inlineStr">
        <is>
          <t>North branch</t>
        </is>
      </c>
      <c r="C953" s="4" t="inlineStr">
        <is>
          <t>North 1</t>
        </is>
      </c>
      <c r="D953" s="4" t="inlineStr">
        <is>
          <t>Dr Khaled Youssef</t>
        </is>
      </c>
      <c r="E953" s="4" t="inlineStr">
        <is>
          <t>P-2176</t>
        </is>
      </c>
      <c r="F953" s="4" t="inlineStr">
        <is>
          <t>Returning</t>
        </is>
      </c>
      <c r="G953" s="4" t="inlineStr">
        <is>
          <t>Instagram</t>
        </is>
      </c>
      <c r="H953" s="4" t="inlineStr">
        <is>
          <t>Laser session, body</t>
        </is>
      </c>
      <c r="I953" s="9">
        <f>IF($H953="","",IFERROR(INDEX('Settings'!$J$10:$J$39,MATCH($H953,'Settings'!$I$10:$I$39,0)),""))</f>
        <v/>
      </c>
      <c r="J953" s="6" t="n">
        <v>1</v>
      </c>
      <c r="K953" s="8" t="n">
        <v>1200</v>
      </c>
      <c r="L953" s="8" t="n"/>
      <c r="M953" s="14">
        <f>IF($A953="","",$J953*$K953)</f>
        <v/>
      </c>
      <c r="N953" s="14">
        <f>IF($A953="","",$M953-$L953)</f>
        <v/>
      </c>
      <c r="O953" s="4" t="inlineStr">
        <is>
          <t>Cash</t>
        </is>
      </c>
      <c r="P953" s="15">
        <f>IF($A953="","",DATE(YEAR($A953),MONTH($A953),1))</f>
        <v/>
      </c>
      <c r="Q953" s="16">
        <f>IF($H953="","",$J953*IFERROR(INDEX('Settings'!$L$10:$L$39,MATCH($H953,'Settings'!$I$10:$I$39,0)),0))</f>
        <v/>
      </c>
      <c r="R953" s="17">
        <f>IF($A953="","",$A953-WEEKDAY($A953,2)+1)</f>
        <v/>
      </c>
    </row>
    <row r="954">
      <c r="A954" s="5" t="n">
        <v>46284</v>
      </c>
      <c r="B954" s="4" t="inlineStr">
        <is>
          <t>North branch</t>
        </is>
      </c>
      <c r="C954" s="4" t="inlineStr">
        <is>
          <t>North 1</t>
        </is>
      </c>
      <c r="D954" s="4" t="inlineStr">
        <is>
          <t>Dr Khaled Youssef</t>
        </is>
      </c>
      <c r="E954" s="4" t="inlineStr">
        <is>
          <t>P-3127</t>
        </is>
      </c>
      <c r="F954" s="4" t="inlineStr">
        <is>
          <t>New</t>
        </is>
      </c>
      <c r="G954" s="4" t="inlineStr">
        <is>
          <t>Walk-in</t>
        </is>
      </c>
      <c r="H954" s="4" t="inlineStr">
        <is>
          <t>Laser session, face</t>
        </is>
      </c>
      <c r="I954" s="9">
        <f>IF($H954="","",IFERROR(INDEX('Settings'!$J$10:$J$39,MATCH($H954,'Settings'!$I$10:$I$39,0)),""))</f>
        <v/>
      </c>
      <c r="J954" s="6" t="n">
        <v>1</v>
      </c>
      <c r="K954" s="8" t="n">
        <v>600</v>
      </c>
      <c r="L954" s="8" t="n"/>
      <c r="M954" s="14">
        <f>IF($A954="","",$J954*$K954)</f>
        <v/>
      </c>
      <c r="N954" s="14">
        <f>IF($A954="","",$M954-$L954)</f>
        <v/>
      </c>
      <c r="O954" s="4" t="inlineStr">
        <is>
          <t>Cash</t>
        </is>
      </c>
      <c r="P954" s="15">
        <f>IF($A954="","",DATE(YEAR($A954),MONTH($A954),1))</f>
        <v/>
      </c>
      <c r="Q954" s="16">
        <f>IF($H954="","",$J954*IFERROR(INDEX('Settings'!$L$10:$L$39,MATCH($H954,'Settings'!$I$10:$I$39,0)),0))</f>
        <v/>
      </c>
      <c r="R954" s="17">
        <f>IF($A954="","",$A954-WEEKDAY($A954,2)+1)</f>
        <v/>
      </c>
    </row>
    <row r="955">
      <c r="A955" s="5" t="n">
        <v>46284</v>
      </c>
      <c r="B955" s="4" t="inlineStr">
        <is>
          <t>North branch</t>
        </is>
      </c>
      <c r="C955" s="4" t="inlineStr">
        <is>
          <t>North 1</t>
        </is>
      </c>
      <c r="D955" s="4" t="inlineStr">
        <is>
          <t>Dr Khaled Youssef</t>
        </is>
      </c>
      <c r="E955" s="4" t="inlineStr">
        <is>
          <t>P-2725</t>
        </is>
      </c>
      <c r="F955" s="4" t="inlineStr">
        <is>
          <t>Returning</t>
        </is>
      </c>
      <c r="G955" s="4" t="inlineStr">
        <is>
          <t>Instagram</t>
        </is>
      </c>
      <c r="H955" s="4" t="inlineStr">
        <is>
          <t>Specialist consultation</t>
        </is>
      </c>
      <c r="I955" s="9">
        <f>IF($H955="","",IFERROR(INDEX('Settings'!$J$10:$J$39,MATCH($H955,'Settings'!$I$10:$I$39,0)),""))</f>
        <v/>
      </c>
      <c r="J955" s="6" t="n">
        <v>1</v>
      </c>
      <c r="K955" s="8" t="n">
        <v>350</v>
      </c>
      <c r="L955" s="8" t="n"/>
      <c r="M955" s="14">
        <f>IF($A955="","",$J955*$K955)</f>
        <v/>
      </c>
      <c r="N955" s="14">
        <f>IF($A955="","",$M955-$L955)</f>
        <v/>
      </c>
      <c r="O955" s="4" t="inlineStr">
        <is>
          <t>Card</t>
        </is>
      </c>
      <c r="P955" s="15">
        <f>IF($A955="","",DATE(YEAR($A955),MONTH($A955),1))</f>
        <v/>
      </c>
      <c r="Q955" s="16">
        <f>IF($H955="","",$J955*IFERROR(INDEX('Settings'!$L$10:$L$39,MATCH($H955,'Settings'!$I$10:$I$39,0)),0))</f>
        <v/>
      </c>
      <c r="R955" s="17">
        <f>IF($A955="","",$A955-WEEKDAY($A955,2)+1)</f>
        <v/>
      </c>
    </row>
    <row r="956">
      <c r="A956" s="5" t="n">
        <v>46284</v>
      </c>
      <c r="B956" s="4" t="inlineStr">
        <is>
          <t>North branch</t>
        </is>
      </c>
      <c r="C956" s="4" t="inlineStr">
        <is>
          <t>North 2</t>
        </is>
      </c>
      <c r="D956" s="4" t="inlineStr">
        <is>
          <t>Dr Khaled Youssef</t>
        </is>
      </c>
      <c r="E956" s="4" t="inlineStr">
        <is>
          <t>P-2545</t>
        </is>
      </c>
      <c r="F956" s="4" t="inlineStr">
        <is>
          <t>Returning</t>
        </is>
      </c>
      <c r="G956" s="4" t="inlineStr">
        <is>
          <t>WhatsApp</t>
        </is>
      </c>
      <c r="H956" s="4" t="inlineStr">
        <is>
          <t>Chemical peel</t>
        </is>
      </c>
      <c r="I956" s="9">
        <f>IF($H956="","",IFERROR(INDEX('Settings'!$J$10:$J$39,MATCH($H956,'Settings'!$I$10:$I$39,0)),""))</f>
        <v/>
      </c>
      <c r="J956" s="6" t="n">
        <v>1</v>
      </c>
      <c r="K956" s="8" t="n">
        <v>800</v>
      </c>
      <c r="L956" s="8" t="n"/>
      <c r="M956" s="14">
        <f>IF($A956="","",$J956*$K956)</f>
        <v/>
      </c>
      <c r="N956" s="14">
        <f>IF($A956="","",$M956-$L956)</f>
        <v/>
      </c>
      <c r="O956" s="4" t="inlineStr">
        <is>
          <t>Insurance</t>
        </is>
      </c>
      <c r="P956" s="15">
        <f>IF($A956="","",DATE(YEAR($A956),MONTH($A956),1))</f>
        <v/>
      </c>
      <c r="Q956" s="16">
        <f>IF($H956="","",$J956*IFERROR(INDEX('Settings'!$L$10:$L$39,MATCH($H956,'Settings'!$I$10:$I$39,0)),0))</f>
        <v/>
      </c>
      <c r="R956" s="17">
        <f>IF($A956="","",$A956-WEEKDAY($A956,2)+1)</f>
        <v/>
      </c>
    </row>
    <row r="957">
      <c r="A957" s="5" t="n">
        <v>46284</v>
      </c>
      <c r="B957" s="4" t="inlineStr">
        <is>
          <t>North branch</t>
        </is>
      </c>
      <c r="C957" s="4" t="inlineStr">
        <is>
          <t>North 2</t>
        </is>
      </c>
      <c r="D957" s="4" t="inlineStr">
        <is>
          <t>Dr Layla Al Qahtani</t>
        </is>
      </c>
      <c r="E957" s="4" t="inlineStr">
        <is>
          <t>P-2540</t>
        </is>
      </c>
      <c r="F957" s="4" t="inlineStr">
        <is>
          <t>Returning</t>
        </is>
      </c>
      <c r="G957" s="4" t="inlineStr">
        <is>
          <t>Google</t>
        </is>
      </c>
      <c r="H957" s="4" t="inlineStr">
        <is>
          <t>Follow-up visit</t>
        </is>
      </c>
      <c r="I957" s="9">
        <f>IF($H957="","",IFERROR(INDEX('Settings'!$J$10:$J$39,MATCH($H957,'Settings'!$I$10:$I$39,0)),""))</f>
        <v/>
      </c>
      <c r="J957" s="6" t="n">
        <v>1</v>
      </c>
      <c r="K957" s="8" t="n">
        <v>150</v>
      </c>
      <c r="L957" s="8" t="n"/>
      <c r="M957" s="14">
        <f>IF($A957="","",$J957*$K957)</f>
        <v/>
      </c>
      <c r="N957" s="14">
        <f>IF($A957="","",$M957-$L957)</f>
        <v/>
      </c>
      <c r="O957" s="4" t="inlineStr">
        <is>
          <t>Cash</t>
        </is>
      </c>
      <c r="P957" s="15">
        <f>IF($A957="","",DATE(YEAR($A957),MONTH($A957),1))</f>
        <v/>
      </c>
      <c r="Q957" s="16">
        <f>IF($H957="","",$J957*IFERROR(INDEX('Settings'!$L$10:$L$39,MATCH($H957,'Settings'!$I$10:$I$39,0)),0))</f>
        <v/>
      </c>
      <c r="R957" s="17">
        <f>IF($A957="","",$A957-WEEKDAY($A957,2)+1)</f>
        <v/>
      </c>
    </row>
    <row r="958">
      <c r="A958" s="5" t="n">
        <v>46284</v>
      </c>
      <c r="B958" s="4" t="inlineStr">
        <is>
          <t>North branch</t>
        </is>
      </c>
      <c r="C958" s="4" t="inlineStr">
        <is>
          <t>North 2</t>
        </is>
      </c>
      <c r="D958" s="4" t="inlineStr">
        <is>
          <t>Dr Khaled Youssef</t>
        </is>
      </c>
      <c r="E958" s="4" t="inlineStr">
        <is>
          <t>P-2494</t>
        </is>
      </c>
      <c r="F958" s="4" t="inlineStr">
        <is>
          <t>Returning</t>
        </is>
      </c>
      <c r="G958" s="4" t="inlineStr">
        <is>
          <t>Referral</t>
        </is>
      </c>
      <c r="H958" s="4" t="inlineStr">
        <is>
          <t>Botulinum toxin</t>
        </is>
      </c>
      <c r="I958" s="9">
        <f>IF($H958="","",IFERROR(INDEX('Settings'!$J$10:$J$39,MATCH($H958,'Settings'!$I$10:$I$39,0)),""))</f>
        <v/>
      </c>
      <c r="J958" s="6" t="n">
        <v>1</v>
      </c>
      <c r="K958" s="8" t="n">
        <v>1500</v>
      </c>
      <c r="L958" s="8" t="n"/>
      <c r="M958" s="14">
        <f>IF($A958="","",$J958*$K958)</f>
        <v/>
      </c>
      <c r="N958" s="14">
        <f>IF($A958="","",$M958-$L958)</f>
        <v/>
      </c>
      <c r="O958" s="4" t="inlineStr">
        <is>
          <t>Card</t>
        </is>
      </c>
      <c r="P958" s="15">
        <f>IF($A958="","",DATE(YEAR($A958),MONTH($A958),1))</f>
        <v/>
      </c>
      <c r="Q958" s="16">
        <f>IF($H958="","",$J958*IFERROR(INDEX('Settings'!$L$10:$L$39,MATCH($H958,'Settings'!$I$10:$I$39,0)),0))</f>
        <v/>
      </c>
      <c r="R958" s="17">
        <f>IF($A958="","",$A958-WEEKDAY($A958,2)+1)</f>
        <v/>
      </c>
    </row>
    <row r="959">
      <c r="A959" s="5" t="n">
        <v>46284</v>
      </c>
      <c r="B959" s="4" t="inlineStr">
        <is>
          <t>North branch</t>
        </is>
      </c>
      <c r="C959" s="4" t="inlineStr">
        <is>
          <t>North 2</t>
        </is>
      </c>
      <c r="D959" s="4" t="inlineStr">
        <is>
          <t>Dr Khaled Youssef</t>
        </is>
      </c>
      <c r="E959" s="4" t="inlineStr">
        <is>
          <t>P-3031</t>
        </is>
      </c>
      <c r="F959" s="4" t="inlineStr">
        <is>
          <t>New</t>
        </is>
      </c>
      <c r="G959" s="4" t="inlineStr">
        <is>
          <t>Referral</t>
        </is>
      </c>
      <c r="H959" s="4" t="inlineStr">
        <is>
          <t>Sunscreen cream</t>
        </is>
      </c>
      <c r="I959" s="9">
        <f>IF($H959="","",IFERROR(INDEX('Settings'!$J$10:$J$39,MATCH($H959,'Settings'!$I$10:$I$39,0)),""))</f>
        <v/>
      </c>
      <c r="J959" s="6" t="n">
        <v>1</v>
      </c>
      <c r="K959" s="8" t="n">
        <v>120</v>
      </c>
      <c r="L959" s="8" t="n"/>
      <c r="M959" s="14">
        <f>IF($A959="","",$J959*$K959)</f>
        <v/>
      </c>
      <c r="N959" s="14">
        <f>IF($A959="","",$M959-$L959)</f>
        <v/>
      </c>
      <c r="O959" s="4" t="inlineStr">
        <is>
          <t>Cash</t>
        </is>
      </c>
      <c r="P959" s="15">
        <f>IF($A959="","",DATE(YEAR($A959),MONTH($A959),1))</f>
        <v/>
      </c>
      <c r="Q959" s="16">
        <f>IF($H959="","",$J959*IFERROR(INDEX('Settings'!$L$10:$L$39,MATCH($H959,'Settings'!$I$10:$I$39,0)),0))</f>
        <v/>
      </c>
      <c r="R959" s="17">
        <f>IF($A959="","",$A959-WEEKDAY($A959,2)+1)</f>
        <v/>
      </c>
    </row>
    <row r="960">
      <c r="A960" s="5" t="n">
        <v>46284</v>
      </c>
      <c r="B960" s="4" t="inlineStr">
        <is>
          <t>North branch</t>
        </is>
      </c>
      <c r="C960" s="4" t="inlineStr">
        <is>
          <t>North 2</t>
        </is>
      </c>
      <c r="D960" s="4" t="inlineStr">
        <is>
          <t>Dr Layla Al Qahtani</t>
        </is>
      </c>
      <c r="E960" s="4" t="inlineStr">
        <is>
          <t>P-2964</t>
        </is>
      </c>
      <c r="F960" s="4" t="inlineStr">
        <is>
          <t>Returning</t>
        </is>
      </c>
      <c r="G960" s="4" t="inlineStr">
        <is>
          <t>Instagram</t>
        </is>
      </c>
      <c r="H960" s="4" t="inlineStr">
        <is>
          <t>Laser session, face</t>
        </is>
      </c>
      <c r="I960" s="9">
        <f>IF($H960="","",IFERROR(INDEX('Settings'!$J$10:$J$39,MATCH($H960,'Settings'!$I$10:$I$39,0)),""))</f>
        <v/>
      </c>
      <c r="J960" s="6" t="n">
        <v>1</v>
      </c>
      <c r="K960" s="8" t="n">
        <v>600</v>
      </c>
      <c r="L960" s="8" t="n"/>
      <c r="M960" s="14">
        <f>IF($A960="","",$J960*$K960)</f>
        <v/>
      </c>
      <c r="N960" s="14">
        <f>IF($A960="","",$M960-$L960)</f>
        <v/>
      </c>
      <c r="O960" s="4" t="inlineStr">
        <is>
          <t>Card</t>
        </is>
      </c>
      <c r="P960" s="15">
        <f>IF($A960="","",DATE(YEAR($A960),MONTH($A960),1))</f>
        <v/>
      </c>
      <c r="Q960" s="16">
        <f>IF($H960="","",$J960*IFERROR(INDEX('Settings'!$L$10:$L$39,MATCH($H960,'Settings'!$I$10:$I$39,0)),0))</f>
        <v/>
      </c>
      <c r="R960" s="17">
        <f>IF($A960="","",$A960-WEEKDAY($A960,2)+1)</f>
        <v/>
      </c>
    </row>
    <row r="961">
      <c r="A961" s="5" t="n">
        <v>46284</v>
      </c>
      <c r="B961" s="4" t="inlineStr">
        <is>
          <t>North branch</t>
        </is>
      </c>
      <c r="C961" s="4" t="inlineStr">
        <is>
          <t>North 2</t>
        </is>
      </c>
      <c r="D961" s="4" t="inlineStr">
        <is>
          <t>Dr Khaled Youssef</t>
        </is>
      </c>
      <c r="E961" s="4" t="inlineStr">
        <is>
          <t>P-2965</t>
        </is>
      </c>
      <c r="F961" s="4" t="inlineStr">
        <is>
          <t>New</t>
        </is>
      </c>
      <c r="G961" s="4" t="inlineStr">
        <is>
          <t>WhatsApp</t>
        </is>
      </c>
      <c r="H961" s="4" t="inlineStr">
        <is>
          <t>Specialist consultation</t>
        </is>
      </c>
      <c r="I961" s="9">
        <f>IF($H961="","",IFERROR(INDEX('Settings'!$J$10:$J$39,MATCH($H961,'Settings'!$I$10:$I$39,0)),""))</f>
        <v/>
      </c>
      <c r="J961" s="6" t="n">
        <v>1</v>
      </c>
      <c r="K961" s="8" t="n">
        <v>350</v>
      </c>
      <c r="L961" s="8" t="n"/>
      <c r="M961" s="14">
        <f>IF($A961="","",$J961*$K961)</f>
        <v/>
      </c>
      <c r="N961" s="14">
        <f>IF($A961="","",$M961-$L961)</f>
        <v/>
      </c>
      <c r="O961" s="4" t="inlineStr">
        <is>
          <t>Cash</t>
        </is>
      </c>
      <c r="P961" s="15">
        <f>IF($A961="","",DATE(YEAR($A961),MONTH($A961),1))</f>
        <v/>
      </c>
      <c r="Q961" s="16">
        <f>IF($H961="","",$J961*IFERROR(INDEX('Settings'!$L$10:$L$39,MATCH($H961,'Settings'!$I$10:$I$39,0)),0))</f>
        <v/>
      </c>
      <c r="R961" s="17">
        <f>IF($A961="","",$A961-WEEKDAY($A961,2)+1)</f>
        <v/>
      </c>
    </row>
    <row r="962">
      <c r="A962" s="5" t="n">
        <v>46284</v>
      </c>
      <c r="B962" s="4" t="inlineStr">
        <is>
          <t>North branch</t>
        </is>
      </c>
      <c r="C962" s="4" t="inlineStr">
        <is>
          <t>North 2</t>
        </is>
      </c>
      <c r="D962" s="4" t="inlineStr">
        <is>
          <t>Dr Khaled Youssef</t>
        </is>
      </c>
      <c r="E962" s="4" t="inlineStr">
        <is>
          <t>P-2840</t>
        </is>
      </c>
      <c r="F962" s="4" t="inlineStr">
        <is>
          <t>New</t>
        </is>
      </c>
      <c r="G962" s="4" t="inlineStr">
        <is>
          <t>Instagram</t>
        </is>
      </c>
      <c r="H962" s="4" t="inlineStr">
        <is>
          <t>Physiotherapy session</t>
        </is>
      </c>
      <c r="I962" s="9">
        <f>IF($H962="","",IFERROR(INDEX('Settings'!$J$10:$J$39,MATCH($H962,'Settings'!$I$10:$I$39,0)),""))</f>
        <v/>
      </c>
      <c r="J962" s="6" t="n">
        <v>1</v>
      </c>
      <c r="K962" s="8" t="n">
        <v>300</v>
      </c>
      <c r="L962" s="8" t="n"/>
      <c r="M962" s="14">
        <f>IF($A962="","",$J962*$K962)</f>
        <v/>
      </c>
      <c r="N962" s="14">
        <f>IF($A962="","",$M962-$L962)</f>
        <v/>
      </c>
      <c r="O962" s="4" t="inlineStr">
        <is>
          <t>Card</t>
        </is>
      </c>
      <c r="P962" s="15">
        <f>IF($A962="","",DATE(YEAR($A962),MONTH($A962),1))</f>
        <v/>
      </c>
      <c r="Q962" s="16">
        <f>IF($H962="","",$J962*IFERROR(INDEX('Settings'!$L$10:$L$39,MATCH($H962,'Settings'!$I$10:$I$39,0)),0))</f>
        <v/>
      </c>
      <c r="R962" s="17">
        <f>IF($A962="","",$A962-WEEKDAY($A962,2)+1)</f>
        <v/>
      </c>
    </row>
    <row r="963">
      <c r="A963" s="5" t="n">
        <v>46285</v>
      </c>
      <c r="B963" s="4" t="inlineStr">
        <is>
          <t>Main branch</t>
        </is>
      </c>
      <c r="C963" s="4" t="inlineStr">
        <is>
          <t>Main 1</t>
        </is>
      </c>
      <c r="D963" s="4" t="inlineStr">
        <is>
          <t>Dr Sara Al Harbi</t>
        </is>
      </c>
      <c r="E963" s="4" t="inlineStr">
        <is>
          <t>P-2541</t>
        </is>
      </c>
      <c r="F963" s="4" t="inlineStr">
        <is>
          <t>Returning</t>
        </is>
      </c>
      <c r="G963" s="4" t="inlineStr">
        <is>
          <t>Google</t>
        </is>
      </c>
      <c r="H963" s="4" t="inlineStr">
        <is>
          <t>Physiotherapy session</t>
        </is>
      </c>
      <c r="I963" s="9">
        <f>IF($H963="","",IFERROR(INDEX('Settings'!$J$10:$J$39,MATCH($H963,'Settings'!$I$10:$I$39,0)),""))</f>
        <v/>
      </c>
      <c r="J963" s="6" t="n">
        <v>1</v>
      </c>
      <c r="K963" s="8" t="n">
        <v>300</v>
      </c>
      <c r="L963" s="8" t="n">
        <v>60</v>
      </c>
      <c r="M963" s="14">
        <f>IF($A963="","",$J963*$K963)</f>
        <v/>
      </c>
      <c r="N963" s="14">
        <f>IF($A963="","",$M963-$L963)</f>
        <v/>
      </c>
      <c r="O963" s="4" t="inlineStr">
        <is>
          <t>Cash</t>
        </is>
      </c>
      <c r="P963" s="15">
        <f>IF($A963="","",DATE(YEAR($A963),MONTH($A963),1))</f>
        <v/>
      </c>
      <c r="Q963" s="16">
        <f>IF($H963="","",$J963*IFERROR(INDEX('Settings'!$L$10:$L$39,MATCH($H963,'Settings'!$I$10:$I$39,0)),0))</f>
        <v/>
      </c>
      <c r="R963" s="17">
        <f>IF($A963="","",$A963-WEEKDAY($A963,2)+1)</f>
        <v/>
      </c>
    </row>
    <row r="964">
      <c r="A964" s="5" t="n">
        <v>46285</v>
      </c>
      <c r="B964" s="4" t="inlineStr">
        <is>
          <t>Main branch</t>
        </is>
      </c>
      <c r="C964" s="4" t="inlineStr">
        <is>
          <t>Main 1</t>
        </is>
      </c>
      <c r="D964" s="4" t="inlineStr">
        <is>
          <t>Dr Ahmed Mansour</t>
        </is>
      </c>
      <c r="E964" s="4" t="inlineStr">
        <is>
          <t>P-3136</t>
        </is>
      </c>
      <c r="F964" s="4" t="inlineStr">
        <is>
          <t>New</t>
        </is>
      </c>
      <c r="G964" s="4" t="inlineStr">
        <is>
          <t>Google</t>
        </is>
      </c>
      <c r="H964" s="4" t="inlineStr">
        <is>
          <t>Botulinum toxin</t>
        </is>
      </c>
      <c r="I964" s="9">
        <f>IF($H964="","",IFERROR(INDEX('Settings'!$J$10:$J$39,MATCH($H964,'Settings'!$I$10:$I$39,0)),""))</f>
        <v/>
      </c>
      <c r="J964" s="6" t="n">
        <v>1</v>
      </c>
      <c r="K964" s="8" t="n">
        <v>1500</v>
      </c>
      <c r="L964" s="8" t="n">
        <v>80</v>
      </c>
      <c r="M964" s="14">
        <f>IF($A964="","",$J964*$K964)</f>
        <v/>
      </c>
      <c r="N964" s="14">
        <f>IF($A964="","",$M964-$L964)</f>
        <v/>
      </c>
      <c r="O964" s="4" t="inlineStr">
        <is>
          <t>Insurance</t>
        </is>
      </c>
      <c r="P964" s="15">
        <f>IF($A964="","",DATE(YEAR($A964),MONTH($A964),1))</f>
        <v/>
      </c>
      <c r="Q964" s="16">
        <f>IF($H964="","",$J964*IFERROR(INDEX('Settings'!$L$10:$L$39,MATCH($H964,'Settings'!$I$10:$I$39,0)),0))</f>
        <v/>
      </c>
      <c r="R964" s="17">
        <f>IF($A964="","",$A964-WEEKDAY($A964,2)+1)</f>
        <v/>
      </c>
    </row>
    <row r="965">
      <c r="A965" s="5" t="n">
        <v>46285</v>
      </c>
      <c r="B965" s="4" t="inlineStr">
        <is>
          <t>Main branch</t>
        </is>
      </c>
      <c r="C965" s="4" t="inlineStr">
        <is>
          <t>Main 1</t>
        </is>
      </c>
      <c r="D965" s="4" t="inlineStr">
        <is>
          <t>Dr Ahmed Mansour</t>
        </is>
      </c>
      <c r="E965" s="4" t="inlineStr">
        <is>
          <t>P-2609</t>
        </is>
      </c>
      <c r="F965" s="4" t="inlineStr">
        <is>
          <t>Returning</t>
        </is>
      </c>
      <c r="G965" s="4" t="inlineStr">
        <is>
          <t>WhatsApp</t>
        </is>
      </c>
      <c r="H965" s="4" t="inlineStr">
        <is>
          <t>Sunscreen cream</t>
        </is>
      </c>
      <c r="I965" s="9">
        <f>IF($H965="","",IFERROR(INDEX('Settings'!$J$10:$J$39,MATCH($H965,'Settings'!$I$10:$I$39,0)),""))</f>
        <v/>
      </c>
      <c r="J965" s="6" t="n">
        <v>2</v>
      </c>
      <c r="K965" s="8" t="n">
        <v>120</v>
      </c>
      <c r="L965" s="8" t="n"/>
      <c r="M965" s="14">
        <f>IF($A965="","",$J965*$K965)</f>
        <v/>
      </c>
      <c r="N965" s="14">
        <f>IF($A965="","",$M965-$L965)</f>
        <v/>
      </c>
      <c r="O965" s="4" t="inlineStr">
        <is>
          <t>Card</t>
        </is>
      </c>
      <c r="P965" s="15">
        <f>IF($A965="","",DATE(YEAR($A965),MONTH($A965),1))</f>
        <v/>
      </c>
      <c r="Q965" s="16">
        <f>IF($H965="","",$J965*IFERROR(INDEX('Settings'!$L$10:$L$39,MATCH($H965,'Settings'!$I$10:$I$39,0)),0))</f>
        <v/>
      </c>
      <c r="R965" s="17">
        <f>IF($A965="","",$A965-WEEKDAY($A965,2)+1)</f>
        <v/>
      </c>
    </row>
    <row r="966">
      <c r="A966" s="5" t="n">
        <v>46285</v>
      </c>
      <c r="B966" s="4" t="inlineStr">
        <is>
          <t>Main branch</t>
        </is>
      </c>
      <c r="C966" s="4" t="inlineStr">
        <is>
          <t>Main 1</t>
        </is>
      </c>
      <c r="D966" s="4" t="inlineStr">
        <is>
          <t>Dr Sara Al Harbi</t>
        </is>
      </c>
      <c r="E966" s="4" t="inlineStr">
        <is>
          <t>P-2892</t>
        </is>
      </c>
      <c r="F966" s="4" t="inlineStr">
        <is>
          <t>New</t>
        </is>
      </c>
      <c r="G966" s="4" t="inlineStr">
        <is>
          <t>Google</t>
        </is>
      </c>
      <c r="H966" s="4" t="inlineStr">
        <is>
          <t>Follow-up visit</t>
        </is>
      </c>
      <c r="I966" s="9">
        <f>IF($H966="","",IFERROR(INDEX('Settings'!$J$10:$J$39,MATCH($H966,'Settings'!$I$10:$I$39,0)),""))</f>
        <v/>
      </c>
      <c r="J966" s="6" t="n">
        <v>1</v>
      </c>
      <c r="K966" s="8" t="n">
        <v>150</v>
      </c>
      <c r="L966" s="8" t="n"/>
      <c r="M966" s="14">
        <f>IF($A966="","",$J966*$K966)</f>
        <v/>
      </c>
      <c r="N966" s="14">
        <f>IF($A966="","",$M966-$L966)</f>
        <v/>
      </c>
      <c r="O966" s="4" t="inlineStr">
        <is>
          <t>Card</t>
        </is>
      </c>
      <c r="P966" s="15">
        <f>IF($A966="","",DATE(YEAR($A966),MONTH($A966),1))</f>
        <v/>
      </c>
      <c r="Q966" s="16">
        <f>IF($H966="","",$J966*IFERROR(INDEX('Settings'!$L$10:$L$39,MATCH($H966,'Settings'!$I$10:$I$39,0)),0))</f>
        <v/>
      </c>
      <c r="R966" s="17">
        <f>IF($A966="","",$A966-WEEKDAY($A966,2)+1)</f>
        <v/>
      </c>
    </row>
    <row r="967">
      <c r="A967" s="5" t="n">
        <v>46285</v>
      </c>
      <c r="B967" s="4" t="inlineStr">
        <is>
          <t>Main branch</t>
        </is>
      </c>
      <c r="C967" s="4" t="inlineStr">
        <is>
          <t>Main 2</t>
        </is>
      </c>
      <c r="D967" s="4" t="inlineStr">
        <is>
          <t>Dr Ahmed Mansour</t>
        </is>
      </c>
      <c r="E967" s="4" t="inlineStr">
        <is>
          <t>P-3230</t>
        </is>
      </c>
      <c r="F967" s="4" t="inlineStr">
        <is>
          <t>Returning</t>
        </is>
      </c>
      <c r="G967" s="4" t="inlineStr">
        <is>
          <t>Google</t>
        </is>
      </c>
      <c r="H967" s="4" t="inlineStr">
        <is>
          <t>Specialist consultation</t>
        </is>
      </c>
      <c r="I967" s="9">
        <f>IF($H967="","",IFERROR(INDEX('Settings'!$J$10:$J$39,MATCH($H967,'Settings'!$I$10:$I$39,0)),""))</f>
        <v/>
      </c>
      <c r="J967" s="6" t="n">
        <v>1</v>
      </c>
      <c r="K967" s="8" t="n">
        <v>350</v>
      </c>
      <c r="L967" s="8" t="n"/>
      <c r="M967" s="14">
        <f>IF($A967="","",$J967*$K967)</f>
        <v/>
      </c>
      <c r="N967" s="14">
        <f>IF($A967="","",$M967-$L967)</f>
        <v/>
      </c>
      <c r="O967" s="4" t="inlineStr">
        <is>
          <t>Cash</t>
        </is>
      </c>
      <c r="P967" s="15">
        <f>IF($A967="","",DATE(YEAR($A967),MONTH($A967),1))</f>
        <v/>
      </c>
      <c r="Q967" s="16">
        <f>IF($H967="","",$J967*IFERROR(INDEX('Settings'!$L$10:$L$39,MATCH($H967,'Settings'!$I$10:$I$39,0)),0))</f>
        <v/>
      </c>
      <c r="R967" s="17">
        <f>IF($A967="","",$A967-WEEKDAY($A967,2)+1)</f>
        <v/>
      </c>
    </row>
    <row r="968">
      <c r="A968" s="5" t="n">
        <v>46285</v>
      </c>
      <c r="B968" s="4" t="inlineStr">
        <is>
          <t>Main branch</t>
        </is>
      </c>
      <c r="C968" s="4" t="inlineStr">
        <is>
          <t>Main 3</t>
        </is>
      </c>
      <c r="D968" s="4" t="inlineStr">
        <is>
          <t>Dr Sara Al Harbi</t>
        </is>
      </c>
      <c r="E968" s="4" t="inlineStr">
        <is>
          <t>P-3231</t>
        </is>
      </c>
      <c r="F968" s="4" t="inlineStr">
        <is>
          <t>Returning</t>
        </is>
      </c>
      <c r="G968" s="4" t="inlineStr">
        <is>
          <t>Walk-in</t>
        </is>
      </c>
      <c r="H968" s="4" t="inlineStr">
        <is>
          <t>Laser session, face</t>
        </is>
      </c>
      <c r="I968" s="9">
        <f>IF($H968="","",IFERROR(INDEX('Settings'!$J$10:$J$39,MATCH($H968,'Settings'!$I$10:$I$39,0)),""))</f>
        <v/>
      </c>
      <c r="J968" s="6" t="n">
        <v>1</v>
      </c>
      <c r="K968" s="8" t="n">
        <v>600</v>
      </c>
      <c r="L968" s="8" t="n">
        <v>120</v>
      </c>
      <c r="M968" s="14">
        <f>IF($A968="","",$J968*$K968)</f>
        <v/>
      </c>
      <c r="N968" s="14">
        <f>IF($A968="","",$M968-$L968)</f>
        <v/>
      </c>
      <c r="O968" s="4" t="inlineStr">
        <is>
          <t>Cash</t>
        </is>
      </c>
      <c r="P968" s="15">
        <f>IF($A968="","",DATE(YEAR($A968),MONTH($A968),1))</f>
        <v/>
      </c>
      <c r="Q968" s="16">
        <f>IF($H968="","",$J968*IFERROR(INDEX('Settings'!$L$10:$L$39,MATCH($H968,'Settings'!$I$10:$I$39,0)),0))</f>
        <v/>
      </c>
      <c r="R968" s="17">
        <f>IF($A968="","",$A968-WEEKDAY($A968,2)+1)</f>
        <v/>
      </c>
    </row>
    <row r="969">
      <c r="A969" s="5" t="n">
        <v>46285</v>
      </c>
      <c r="B969" s="4" t="inlineStr">
        <is>
          <t>Main branch</t>
        </is>
      </c>
      <c r="C969" s="4" t="inlineStr">
        <is>
          <t>Main 3</t>
        </is>
      </c>
      <c r="D969" s="4" t="inlineStr">
        <is>
          <t>Dr Ahmed Mansour</t>
        </is>
      </c>
      <c r="E969" s="4" t="inlineStr">
        <is>
          <t>P-2814</t>
        </is>
      </c>
      <c r="F969" s="4" t="inlineStr">
        <is>
          <t>New</t>
        </is>
      </c>
      <c r="G969" s="4" t="inlineStr">
        <is>
          <t>Instagram</t>
        </is>
      </c>
      <c r="H969" s="4" t="inlineStr">
        <is>
          <t>Follow-up visit</t>
        </is>
      </c>
      <c r="I969" s="9">
        <f>IF($H969="","",IFERROR(INDEX('Settings'!$J$10:$J$39,MATCH($H969,'Settings'!$I$10:$I$39,0)),""))</f>
        <v/>
      </c>
      <c r="J969" s="6" t="n">
        <v>1</v>
      </c>
      <c r="K969" s="8" t="n">
        <v>150</v>
      </c>
      <c r="L969" s="8" t="n"/>
      <c r="M969" s="14">
        <f>IF($A969="","",$J969*$K969)</f>
        <v/>
      </c>
      <c r="N969" s="14">
        <f>IF($A969="","",$M969-$L969)</f>
        <v/>
      </c>
      <c r="O969" s="4" t="inlineStr">
        <is>
          <t>Payment link</t>
        </is>
      </c>
      <c r="P969" s="15">
        <f>IF($A969="","",DATE(YEAR($A969),MONTH($A969),1))</f>
        <v/>
      </c>
      <c r="Q969" s="16">
        <f>IF($H969="","",$J969*IFERROR(INDEX('Settings'!$L$10:$L$39,MATCH($H969,'Settings'!$I$10:$I$39,0)),0))</f>
        <v/>
      </c>
      <c r="R969" s="17">
        <f>IF($A969="","",$A969-WEEKDAY($A969,2)+1)</f>
        <v/>
      </c>
    </row>
    <row r="970">
      <c r="A970" s="5" t="n">
        <v>46285</v>
      </c>
      <c r="B970" s="4" t="inlineStr">
        <is>
          <t>Main branch</t>
        </is>
      </c>
      <c r="C970" s="4" t="inlineStr">
        <is>
          <t>Main 4</t>
        </is>
      </c>
      <c r="D970" s="4" t="inlineStr">
        <is>
          <t>Dr Sara Al Harbi</t>
        </is>
      </c>
      <c r="E970" s="4" t="inlineStr">
        <is>
          <t>P-3231</t>
        </is>
      </c>
      <c r="F970" s="4" t="inlineStr">
        <is>
          <t>Returning</t>
        </is>
      </c>
      <c r="G970" s="4" t="inlineStr">
        <is>
          <t>Walk-in</t>
        </is>
      </c>
      <c r="H970" s="4" t="inlineStr">
        <is>
          <t>Laser session, face</t>
        </is>
      </c>
      <c r="I970" s="9">
        <f>IF($H970="","",IFERROR(INDEX('Settings'!$J$10:$J$39,MATCH($H970,'Settings'!$I$10:$I$39,0)),""))</f>
        <v/>
      </c>
      <c r="J970" s="6" t="n">
        <v>1</v>
      </c>
      <c r="K970" s="8" t="n">
        <v>600</v>
      </c>
      <c r="L970" s="8" t="n"/>
      <c r="M970" s="14">
        <f>IF($A970="","",$J970*$K970)</f>
        <v/>
      </c>
      <c r="N970" s="14">
        <f>IF($A970="","",$M970-$L970)</f>
        <v/>
      </c>
      <c r="O970" s="4" t="inlineStr">
        <is>
          <t>Transfer</t>
        </is>
      </c>
      <c r="P970" s="15">
        <f>IF($A970="","",DATE(YEAR($A970),MONTH($A970),1))</f>
        <v/>
      </c>
      <c r="Q970" s="16">
        <f>IF($H970="","",$J970*IFERROR(INDEX('Settings'!$L$10:$L$39,MATCH($H970,'Settings'!$I$10:$I$39,0)),0))</f>
        <v/>
      </c>
      <c r="R970" s="17">
        <f>IF($A970="","",$A970-WEEKDAY($A970,2)+1)</f>
        <v/>
      </c>
    </row>
    <row r="971">
      <c r="A971" s="5" t="n">
        <v>46285</v>
      </c>
      <c r="B971" s="4" t="inlineStr">
        <is>
          <t>Main branch</t>
        </is>
      </c>
      <c r="C971" s="4" t="inlineStr">
        <is>
          <t>Main 4</t>
        </is>
      </c>
      <c r="D971" s="4" t="inlineStr">
        <is>
          <t>Dr Sara Al Harbi</t>
        </is>
      </c>
      <c r="E971" s="4" t="inlineStr">
        <is>
          <t>P-3427</t>
        </is>
      </c>
      <c r="F971" s="4" t="inlineStr">
        <is>
          <t>Returning</t>
        </is>
      </c>
      <c r="G971" s="4" t="inlineStr">
        <is>
          <t>Referral</t>
        </is>
      </c>
      <c r="H971" s="4" t="inlineStr">
        <is>
          <t>Botulinum toxin</t>
        </is>
      </c>
      <c r="I971" s="9">
        <f>IF($H971="","",IFERROR(INDEX('Settings'!$J$10:$J$39,MATCH($H971,'Settings'!$I$10:$I$39,0)),""))</f>
        <v/>
      </c>
      <c r="J971" s="6" t="n">
        <v>1</v>
      </c>
      <c r="K971" s="8" t="n">
        <v>1500</v>
      </c>
      <c r="L971" s="8" t="n"/>
      <c r="M971" s="14">
        <f>IF($A971="","",$J971*$K971)</f>
        <v/>
      </c>
      <c r="N971" s="14">
        <f>IF($A971="","",$M971-$L971)</f>
        <v/>
      </c>
      <c r="O971" s="4" t="inlineStr">
        <is>
          <t>Card</t>
        </is>
      </c>
      <c r="P971" s="15">
        <f>IF($A971="","",DATE(YEAR($A971),MONTH($A971),1))</f>
        <v/>
      </c>
      <c r="Q971" s="16">
        <f>IF($H971="","",$J971*IFERROR(INDEX('Settings'!$L$10:$L$39,MATCH($H971,'Settings'!$I$10:$I$39,0)),0))</f>
        <v/>
      </c>
      <c r="R971" s="17">
        <f>IF($A971="","",$A971-WEEKDAY($A971,2)+1)</f>
        <v/>
      </c>
    </row>
    <row r="972">
      <c r="A972" s="5" t="n">
        <v>46285</v>
      </c>
      <c r="B972" s="4" t="inlineStr">
        <is>
          <t>North branch</t>
        </is>
      </c>
      <c r="C972" s="4" t="inlineStr">
        <is>
          <t>North 1</t>
        </is>
      </c>
      <c r="D972" s="4" t="inlineStr">
        <is>
          <t>Dr Layla Al Qahtani</t>
        </is>
      </c>
      <c r="E972" s="4" t="inlineStr">
        <is>
          <t>P-2585</t>
        </is>
      </c>
      <c r="F972" s="4" t="inlineStr">
        <is>
          <t>New</t>
        </is>
      </c>
      <c r="G972" s="4" t="inlineStr">
        <is>
          <t>WhatsApp</t>
        </is>
      </c>
      <c r="H972" s="4" t="inlineStr">
        <is>
          <t>Specialist consultation</t>
        </is>
      </c>
      <c r="I972" s="9">
        <f>IF($H972="","",IFERROR(INDEX('Settings'!$J$10:$J$39,MATCH($H972,'Settings'!$I$10:$I$39,0)),""))</f>
        <v/>
      </c>
      <c r="J972" s="6" t="n">
        <v>1</v>
      </c>
      <c r="K972" s="8" t="n">
        <v>350</v>
      </c>
      <c r="L972" s="8" t="n"/>
      <c r="M972" s="14">
        <f>IF($A972="","",$J972*$K972)</f>
        <v/>
      </c>
      <c r="N972" s="14">
        <f>IF($A972="","",$M972-$L972)</f>
        <v/>
      </c>
      <c r="O972" s="4" t="inlineStr">
        <is>
          <t>Insurance</t>
        </is>
      </c>
      <c r="P972" s="15">
        <f>IF($A972="","",DATE(YEAR($A972),MONTH($A972),1))</f>
        <v/>
      </c>
      <c r="Q972" s="16">
        <f>IF($H972="","",$J972*IFERROR(INDEX('Settings'!$L$10:$L$39,MATCH($H972,'Settings'!$I$10:$I$39,0)),0))</f>
        <v/>
      </c>
      <c r="R972" s="17">
        <f>IF($A972="","",$A972-WEEKDAY($A972,2)+1)</f>
        <v/>
      </c>
    </row>
    <row r="973">
      <c r="A973" s="5" t="n">
        <v>46285</v>
      </c>
      <c r="B973" s="4" t="inlineStr">
        <is>
          <t>North branch</t>
        </is>
      </c>
      <c r="C973" s="4" t="inlineStr">
        <is>
          <t>North 1</t>
        </is>
      </c>
      <c r="D973" s="4" t="inlineStr">
        <is>
          <t>Dr Khaled Youssef</t>
        </is>
      </c>
      <c r="E973" s="4" t="inlineStr">
        <is>
          <t>P-3143</t>
        </is>
      </c>
      <c r="F973" s="4" t="inlineStr">
        <is>
          <t>Returning</t>
        </is>
      </c>
      <c r="G973" s="4" t="inlineStr">
        <is>
          <t>Walk-in</t>
        </is>
      </c>
      <c r="H973" s="4" t="inlineStr">
        <is>
          <t>Filler injection</t>
        </is>
      </c>
      <c r="I973" s="9">
        <f>IF($H973="","",IFERROR(INDEX('Settings'!$J$10:$J$39,MATCH($H973,'Settings'!$I$10:$I$39,0)),""))</f>
        <v/>
      </c>
      <c r="J973" s="6" t="n">
        <v>1</v>
      </c>
      <c r="K973" s="8" t="n">
        <v>1800</v>
      </c>
      <c r="L973" s="8" t="n"/>
      <c r="M973" s="14">
        <f>IF($A973="","",$J973*$K973)</f>
        <v/>
      </c>
      <c r="N973" s="14">
        <f>IF($A973="","",$M973-$L973)</f>
        <v/>
      </c>
      <c r="O973" s="4" t="inlineStr">
        <is>
          <t>Insurance</t>
        </is>
      </c>
      <c r="P973" s="15">
        <f>IF($A973="","",DATE(YEAR($A973),MONTH($A973),1))</f>
        <v/>
      </c>
      <c r="Q973" s="16">
        <f>IF($H973="","",$J973*IFERROR(INDEX('Settings'!$L$10:$L$39,MATCH($H973,'Settings'!$I$10:$I$39,0)),0))</f>
        <v/>
      </c>
      <c r="R973" s="17">
        <f>IF($A973="","",$A973-WEEKDAY($A973,2)+1)</f>
        <v/>
      </c>
    </row>
    <row r="974">
      <c r="A974" s="5" t="n">
        <v>46285</v>
      </c>
      <c r="B974" s="4" t="inlineStr">
        <is>
          <t>North branch</t>
        </is>
      </c>
      <c r="C974" s="4" t="inlineStr">
        <is>
          <t>North 1</t>
        </is>
      </c>
      <c r="D974" s="4" t="inlineStr">
        <is>
          <t>Dr Mohamed Adel</t>
        </is>
      </c>
      <c r="E974" s="4" t="inlineStr">
        <is>
          <t>P-2405</t>
        </is>
      </c>
      <c r="F974" s="4" t="inlineStr">
        <is>
          <t>Returning</t>
        </is>
      </c>
      <c r="G974" s="4" t="inlineStr">
        <is>
          <t>Google</t>
        </is>
      </c>
      <c r="H974" s="4" t="inlineStr">
        <is>
          <t>Skin tag removal</t>
        </is>
      </c>
      <c r="I974" s="9">
        <f>IF($H974="","",IFERROR(INDEX('Settings'!$J$10:$J$39,MATCH($H974,'Settings'!$I$10:$I$39,0)),""))</f>
        <v/>
      </c>
      <c r="J974" s="6" t="n">
        <v>1</v>
      </c>
      <c r="K974" s="8" t="n">
        <v>500</v>
      </c>
      <c r="L974" s="8" t="n"/>
      <c r="M974" s="14">
        <f>IF($A974="","",$J974*$K974)</f>
        <v/>
      </c>
      <c r="N974" s="14">
        <f>IF($A974="","",$M974-$L974)</f>
        <v/>
      </c>
      <c r="O974" s="4" t="inlineStr">
        <is>
          <t>Cash</t>
        </is>
      </c>
      <c r="P974" s="15">
        <f>IF($A974="","",DATE(YEAR($A974),MONTH($A974),1))</f>
        <v/>
      </c>
      <c r="Q974" s="16">
        <f>IF($H974="","",$J974*IFERROR(INDEX('Settings'!$L$10:$L$39,MATCH($H974,'Settings'!$I$10:$I$39,0)),0))</f>
        <v/>
      </c>
      <c r="R974" s="17">
        <f>IF($A974="","",$A974-WEEKDAY($A974,2)+1)</f>
        <v/>
      </c>
    </row>
    <row r="975">
      <c r="A975" s="5" t="n">
        <v>46285</v>
      </c>
      <c r="B975" s="4" t="inlineStr">
        <is>
          <t>North branch</t>
        </is>
      </c>
      <c r="C975" s="4" t="inlineStr">
        <is>
          <t>North 2</t>
        </is>
      </c>
      <c r="D975" s="4" t="inlineStr">
        <is>
          <t>Dr Khaled Youssef</t>
        </is>
      </c>
      <c r="E975" s="4" t="inlineStr">
        <is>
          <t>P-3421</t>
        </is>
      </c>
      <c r="F975" s="4" t="inlineStr">
        <is>
          <t>Returning</t>
        </is>
      </c>
      <c r="G975" s="4" t="inlineStr">
        <is>
          <t>Walk-in</t>
        </is>
      </c>
      <c r="H975" s="4" t="inlineStr">
        <is>
          <t>Specialist consultation</t>
        </is>
      </c>
      <c r="I975" s="9">
        <f>IF($H975="","",IFERROR(INDEX('Settings'!$J$10:$J$39,MATCH($H975,'Settings'!$I$10:$I$39,0)),""))</f>
        <v/>
      </c>
      <c r="J975" s="6" t="n">
        <v>1</v>
      </c>
      <c r="K975" s="8" t="n">
        <v>350</v>
      </c>
      <c r="L975" s="8" t="n"/>
      <c r="M975" s="14">
        <f>IF($A975="","",$J975*$K975)</f>
        <v/>
      </c>
      <c r="N975" s="14">
        <f>IF($A975="","",$M975-$L975)</f>
        <v/>
      </c>
      <c r="O975" s="4" t="inlineStr">
        <is>
          <t>Insurance</t>
        </is>
      </c>
      <c r="P975" s="15">
        <f>IF($A975="","",DATE(YEAR($A975),MONTH($A975),1))</f>
        <v/>
      </c>
      <c r="Q975" s="16">
        <f>IF($H975="","",$J975*IFERROR(INDEX('Settings'!$L$10:$L$39,MATCH($H975,'Settings'!$I$10:$I$39,0)),0))</f>
        <v/>
      </c>
      <c r="R975" s="17">
        <f>IF($A975="","",$A975-WEEKDAY($A975,2)+1)</f>
        <v/>
      </c>
    </row>
    <row r="976">
      <c r="A976" s="5" t="n">
        <v>46285</v>
      </c>
      <c r="B976" s="4" t="inlineStr">
        <is>
          <t>North branch</t>
        </is>
      </c>
      <c r="C976" s="4" t="inlineStr">
        <is>
          <t>North 2</t>
        </is>
      </c>
      <c r="D976" s="4" t="inlineStr">
        <is>
          <t>Dr Mohamed Adel</t>
        </is>
      </c>
      <c r="E976" s="4" t="inlineStr">
        <is>
          <t>P-3405</t>
        </is>
      </c>
      <c r="F976" s="4" t="inlineStr">
        <is>
          <t>Returning</t>
        </is>
      </c>
      <c r="G976" s="4" t="inlineStr">
        <is>
          <t>Google</t>
        </is>
      </c>
      <c r="H976" s="4" t="inlineStr">
        <is>
          <t>Laser session, face</t>
        </is>
      </c>
      <c r="I976" s="9">
        <f>IF($H976="","",IFERROR(INDEX('Settings'!$J$10:$J$39,MATCH($H976,'Settings'!$I$10:$I$39,0)),""))</f>
        <v/>
      </c>
      <c r="J976" s="6" t="n">
        <v>1</v>
      </c>
      <c r="K976" s="8" t="n">
        <v>600</v>
      </c>
      <c r="L976" s="8" t="n">
        <v>60</v>
      </c>
      <c r="M976" s="14">
        <f>IF($A976="","",$J976*$K976)</f>
        <v/>
      </c>
      <c r="N976" s="14">
        <f>IF($A976="","",$M976-$L976)</f>
        <v/>
      </c>
      <c r="O976" s="4" t="inlineStr">
        <is>
          <t>Card</t>
        </is>
      </c>
      <c r="P976" s="15">
        <f>IF($A976="","",DATE(YEAR($A976),MONTH($A976),1))</f>
        <v/>
      </c>
      <c r="Q976" s="16">
        <f>IF($H976="","",$J976*IFERROR(INDEX('Settings'!$L$10:$L$39,MATCH($H976,'Settings'!$I$10:$I$39,0)),0))</f>
        <v/>
      </c>
      <c r="R976" s="17">
        <f>IF($A976="","",$A976-WEEKDAY($A976,2)+1)</f>
        <v/>
      </c>
    </row>
    <row r="977">
      <c r="A977" s="5" t="n">
        <v>46285</v>
      </c>
      <c r="B977" s="4" t="inlineStr">
        <is>
          <t>North branch</t>
        </is>
      </c>
      <c r="C977" s="4" t="inlineStr">
        <is>
          <t>North 2</t>
        </is>
      </c>
      <c r="D977" s="4" t="inlineStr">
        <is>
          <t>Dr Mohamed Adel</t>
        </is>
      </c>
      <c r="E977" s="4" t="inlineStr">
        <is>
          <t>P-2465</t>
        </is>
      </c>
      <c r="F977" s="4" t="inlineStr">
        <is>
          <t>Returning</t>
        </is>
      </c>
      <c r="G977" s="4" t="inlineStr">
        <is>
          <t>Google</t>
        </is>
      </c>
      <c r="H977" s="4" t="inlineStr">
        <is>
          <t>Laser session, face</t>
        </is>
      </c>
      <c r="I977" s="9">
        <f>IF($H977="","",IFERROR(INDEX('Settings'!$J$10:$J$39,MATCH($H977,'Settings'!$I$10:$I$39,0)),""))</f>
        <v/>
      </c>
      <c r="J977" s="6" t="n">
        <v>1</v>
      </c>
      <c r="K977" s="8" t="n">
        <v>600</v>
      </c>
      <c r="L977" s="8" t="n"/>
      <c r="M977" s="14">
        <f>IF($A977="","",$J977*$K977)</f>
        <v/>
      </c>
      <c r="N977" s="14">
        <f>IF($A977="","",$M977-$L977)</f>
        <v/>
      </c>
      <c r="O977" s="4" t="inlineStr">
        <is>
          <t>Card</t>
        </is>
      </c>
      <c r="P977" s="15">
        <f>IF($A977="","",DATE(YEAR($A977),MONTH($A977),1))</f>
        <v/>
      </c>
      <c r="Q977" s="16">
        <f>IF($H977="","",$J977*IFERROR(INDEX('Settings'!$L$10:$L$39,MATCH($H977,'Settings'!$I$10:$I$39,0)),0))</f>
        <v/>
      </c>
      <c r="R977" s="17">
        <f>IF($A977="","",$A977-WEEKDAY($A977,2)+1)</f>
        <v/>
      </c>
    </row>
    <row r="978">
      <c r="A978" s="5" t="n">
        <v>46285</v>
      </c>
      <c r="B978" s="4" t="inlineStr">
        <is>
          <t>North branch</t>
        </is>
      </c>
      <c r="C978" s="4" t="inlineStr">
        <is>
          <t>North 2</t>
        </is>
      </c>
      <c r="D978" s="4" t="inlineStr">
        <is>
          <t>Dr Khaled Youssef</t>
        </is>
      </c>
      <c r="E978" s="4" t="inlineStr">
        <is>
          <t>P-2606</t>
        </is>
      </c>
      <c r="F978" s="4" t="inlineStr">
        <is>
          <t>New</t>
        </is>
      </c>
      <c r="G978" s="4" t="inlineStr">
        <is>
          <t>Google</t>
        </is>
      </c>
      <c r="H978" s="4" t="inlineStr">
        <is>
          <t>Laser session, face</t>
        </is>
      </c>
      <c r="I978" s="9">
        <f>IF($H978="","",IFERROR(INDEX('Settings'!$J$10:$J$39,MATCH($H978,'Settings'!$I$10:$I$39,0)),""))</f>
        <v/>
      </c>
      <c r="J978" s="6" t="n">
        <v>1</v>
      </c>
      <c r="K978" s="8" t="n">
        <v>600</v>
      </c>
      <c r="L978" s="8" t="n"/>
      <c r="M978" s="14">
        <f>IF($A978="","",$J978*$K978)</f>
        <v/>
      </c>
      <c r="N978" s="14">
        <f>IF($A978="","",$M978-$L978)</f>
        <v/>
      </c>
      <c r="O978" s="4" t="inlineStr">
        <is>
          <t>Payment link</t>
        </is>
      </c>
      <c r="P978" s="15">
        <f>IF($A978="","",DATE(YEAR($A978),MONTH($A978),1))</f>
        <v/>
      </c>
      <c r="Q978" s="16">
        <f>IF($H978="","",$J978*IFERROR(INDEX('Settings'!$L$10:$L$39,MATCH($H978,'Settings'!$I$10:$I$39,0)),0))</f>
        <v/>
      </c>
      <c r="R978" s="17">
        <f>IF($A978="","",$A978-WEEKDAY($A978,2)+1)</f>
        <v/>
      </c>
    </row>
    <row r="979">
      <c r="A979" s="5" t="n">
        <v>46285</v>
      </c>
      <c r="B979" s="4" t="inlineStr">
        <is>
          <t>North branch</t>
        </is>
      </c>
      <c r="C979" s="4" t="inlineStr">
        <is>
          <t>North 2</t>
        </is>
      </c>
      <c r="D979" s="4" t="inlineStr">
        <is>
          <t>Dr Mohamed Adel</t>
        </is>
      </c>
      <c r="E979" s="4" t="inlineStr">
        <is>
          <t>P-2717</t>
        </is>
      </c>
      <c r="F979" s="4" t="inlineStr">
        <is>
          <t>Returning</t>
        </is>
      </c>
      <c r="G979" s="4" t="inlineStr">
        <is>
          <t>Walk-in</t>
        </is>
      </c>
      <c r="H979" s="4" t="inlineStr">
        <is>
          <t>Sunscreen cream</t>
        </is>
      </c>
      <c r="I979" s="9">
        <f>IF($H979="","",IFERROR(INDEX('Settings'!$J$10:$J$39,MATCH($H979,'Settings'!$I$10:$I$39,0)),""))</f>
        <v/>
      </c>
      <c r="J979" s="6" t="n">
        <v>1</v>
      </c>
      <c r="K979" s="8" t="n">
        <v>120</v>
      </c>
      <c r="L979" s="8" t="n"/>
      <c r="M979" s="14">
        <f>IF($A979="","",$J979*$K979)</f>
        <v/>
      </c>
      <c r="N979" s="14">
        <f>IF($A979="","",$M979-$L979)</f>
        <v/>
      </c>
      <c r="O979" s="4" t="inlineStr">
        <is>
          <t>Cash</t>
        </is>
      </c>
      <c r="P979" s="15">
        <f>IF($A979="","",DATE(YEAR($A979),MONTH($A979),1))</f>
        <v/>
      </c>
      <c r="Q979" s="16">
        <f>IF($H979="","",$J979*IFERROR(INDEX('Settings'!$L$10:$L$39,MATCH($H979,'Settings'!$I$10:$I$39,0)),0))</f>
        <v/>
      </c>
      <c r="R979" s="17">
        <f>IF($A979="","",$A979-WEEKDAY($A979,2)+1)</f>
        <v/>
      </c>
    </row>
    <row r="980">
      <c r="A980" s="5" t="n">
        <v>46286</v>
      </c>
      <c r="B980" s="4" t="inlineStr">
        <is>
          <t>Main branch</t>
        </is>
      </c>
      <c r="C980" s="4" t="inlineStr">
        <is>
          <t>Main 1</t>
        </is>
      </c>
      <c r="D980" s="4" t="inlineStr">
        <is>
          <t>Dr Noura Al Subaie</t>
        </is>
      </c>
      <c r="E980" s="4" t="inlineStr">
        <is>
          <t>P-2674</t>
        </is>
      </c>
      <c r="F980" s="4" t="inlineStr">
        <is>
          <t>Returning</t>
        </is>
      </c>
      <c r="G980" s="4" t="inlineStr">
        <is>
          <t>Walk-in</t>
        </is>
      </c>
      <c r="H980" s="4" t="inlineStr">
        <is>
          <t>Specialist consultation</t>
        </is>
      </c>
      <c r="I980" s="9">
        <f>IF($H980="","",IFERROR(INDEX('Settings'!$J$10:$J$39,MATCH($H980,'Settings'!$I$10:$I$39,0)),""))</f>
        <v/>
      </c>
      <c r="J980" s="6" t="n">
        <v>1</v>
      </c>
      <c r="K980" s="8" t="n">
        <v>350</v>
      </c>
      <c r="L980" s="8" t="n"/>
      <c r="M980" s="14">
        <f>IF($A980="","",$J980*$K980)</f>
        <v/>
      </c>
      <c r="N980" s="14">
        <f>IF($A980="","",$M980-$L980)</f>
        <v/>
      </c>
      <c r="O980" s="4" t="inlineStr">
        <is>
          <t>Payment link</t>
        </is>
      </c>
      <c r="P980" s="15">
        <f>IF($A980="","",DATE(YEAR($A980),MONTH($A980),1))</f>
        <v/>
      </c>
      <c r="Q980" s="16">
        <f>IF($H980="","",$J980*IFERROR(INDEX('Settings'!$L$10:$L$39,MATCH($H980,'Settings'!$I$10:$I$39,0)),0))</f>
        <v/>
      </c>
      <c r="R980" s="17">
        <f>IF($A980="","",$A980-WEEKDAY($A980,2)+1)</f>
        <v/>
      </c>
    </row>
    <row r="981">
      <c r="A981" s="5" t="n">
        <v>46286</v>
      </c>
      <c r="B981" s="4" t="inlineStr">
        <is>
          <t>Main branch</t>
        </is>
      </c>
      <c r="C981" s="4" t="inlineStr">
        <is>
          <t>Main 1</t>
        </is>
      </c>
      <c r="D981" s="4" t="inlineStr">
        <is>
          <t>Dr Ahmed Mansour</t>
        </is>
      </c>
      <c r="E981" s="4" t="inlineStr">
        <is>
          <t>P-3297</t>
        </is>
      </c>
      <c r="F981" s="4" t="inlineStr">
        <is>
          <t>Returning</t>
        </is>
      </c>
      <c r="G981" s="4" t="inlineStr">
        <is>
          <t>Google</t>
        </is>
      </c>
      <c r="H981" s="4" t="inlineStr">
        <is>
          <t>Physiotherapy session</t>
        </is>
      </c>
      <c r="I981" s="9">
        <f>IF($H981="","",IFERROR(INDEX('Settings'!$J$10:$J$39,MATCH($H981,'Settings'!$I$10:$I$39,0)),""))</f>
        <v/>
      </c>
      <c r="J981" s="6" t="n">
        <v>1</v>
      </c>
      <c r="K981" s="8" t="n">
        <v>300</v>
      </c>
      <c r="L981" s="8" t="n"/>
      <c r="M981" s="14">
        <f>IF($A981="","",$J981*$K981)</f>
        <v/>
      </c>
      <c r="N981" s="14">
        <f>IF($A981="","",$M981-$L981)</f>
        <v/>
      </c>
      <c r="O981" s="4" t="inlineStr">
        <is>
          <t>Card</t>
        </is>
      </c>
      <c r="P981" s="15">
        <f>IF($A981="","",DATE(YEAR($A981),MONTH($A981),1))</f>
        <v/>
      </c>
      <c r="Q981" s="16">
        <f>IF($H981="","",$J981*IFERROR(INDEX('Settings'!$L$10:$L$39,MATCH($H981,'Settings'!$I$10:$I$39,0)),0))</f>
        <v/>
      </c>
      <c r="R981" s="17">
        <f>IF($A981="","",$A981-WEEKDAY($A981,2)+1)</f>
        <v/>
      </c>
    </row>
    <row r="982">
      <c r="A982" s="5" t="n">
        <v>46286</v>
      </c>
      <c r="B982" s="4" t="inlineStr">
        <is>
          <t>Main branch</t>
        </is>
      </c>
      <c r="C982" s="4" t="inlineStr">
        <is>
          <t>Main 2</t>
        </is>
      </c>
      <c r="D982" s="4" t="inlineStr">
        <is>
          <t>Dr Ahmed Mansour</t>
        </is>
      </c>
      <c r="E982" s="4" t="inlineStr">
        <is>
          <t>P-3084</t>
        </is>
      </c>
      <c r="F982" s="4" t="inlineStr">
        <is>
          <t>Returning</t>
        </is>
      </c>
      <c r="G982" s="4" t="inlineStr">
        <is>
          <t>Instagram</t>
        </is>
      </c>
      <c r="H982" s="4" t="inlineStr">
        <is>
          <t>Follow-up visit</t>
        </is>
      </c>
      <c r="I982" s="9">
        <f>IF($H982="","",IFERROR(INDEX('Settings'!$J$10:$J$39,MATCH($H982,'Settings'!$I$10:$I$39,0)),""))</f>
        <v/>
      </c>
      <c r="J982" s="6" t="n">
        <v>1</v>
      </c>
      <c r="K982" s="8" t="n">
        <v>150</v>
      </c>
      <c r="L982" s="8" t="n"/>
      <c r="M982" s="14">
        <f>IF($A982="","",$J982*$K982)</f>
        <v/>
      </c>
      <c r="N982" s="14">
        <f>IF($A982="","",$M982-$L982)</f>
        <v/>
      </c>
      <c r="O982" s="4" t="inlineStr">
        <is>
          <t>Transfer</t>
        </is>
      </c>
      <c r="P982" s="15">
        <f>IF($A982="","",DATE(YEAR($A982),MONTH($A982),1))</f>
        <v/>
      </c>
      <c r="Q982" s="16">
        <f>IF($H982="","",$J982*IFERROR(INDEX('Settings'!$L$10:$L$39,MATCH($H982,'Settings'!$I$10:$I$39,0)),0))</f>
        <v/>
      </c>
      <c r="R982" s="17">
        <f>IF($A982="","",$A982-WEEKDAY($A982,2)+1)</f>
        <v/>
      </c>
    </row>
    <row r="983">
      <c r="A983" s="5" t="n">
        <v>46286</v>
      </c>
      <c r="B983" s="4" t="inlineStr">
        <is>
          <t>Main branch</t>
        </is>
      </c>
      <c r="C983" s="4" t="inlineStr">
        <is>
          <t>Main 2</t>
        </is>
      </c>
      <c r="D983" s="4" t="inlineStr">
        <is>
          <t>Dr Sara Al Harbi</t>
        </is>
      </c>
      <c r="E983" s="4" t="inlineStr">
        <is>
          <t>P-3269</t>
        </is>
      </c>
      <c r="F983" s="4" t="inlineStr">
        <is>
          <t>Returning</t>
        </is>
      </c>
      <c r="G983" s="4" t="inlineStr">
        <is>
          <t>Instagram</t>
        </is>
      </c>
      <c r="H983" s="4" t="inlineStr">
        <is>
          <t>Laser session, face</t>
        </is>
      </c>
      <c r="I983" s="9">
        <f>IF($H983="","",IFERROR(INDEX('Settings'!$J$10:$J$39,MATCH($H983,'Settings'!$I$10:$I$39,0)),""))</f>
        <v/>
      </c>
      <c r="J983" s="6" t="n">
        <v>1</v>
      </c>
      <c r="K983" s="8" t="n">
        <v>600</v>
      </c>
      <c r="L983" s="8" t="n">
        <v>120</v>
      </c>
      <c r="M983" s="14">
        <f>IF($A983="","",$J983*$K983)</f>
        <v/>
      </c>
      <c r="N983" s="14">
        <f>IF($A983="","",$M983-$L983)</f>
        <v/>
      </c>
      <c r="O983" s="4" t="inlineStr">
        <is>
          <t>Insurance</t>
        </is>
      </c>
      <c r="P983" s="15">
        <f>IF($A983="","",DATE(YEAR($A983),MONTH($A983),1))</f>
        <v/>
      </c>
      <c r="Q983" s="16">
        <f>IF($H983="","",$J983*IFERROR(INDEX('Settings'!$L$10:$L$39,MATCH($H983,'Settings'!$I$10:$I$39,0)),0))</f>
        <v/>
      </c>
      <c r="R983" s="17">
        <f>IF($A983="","",$A983-WEEKDAY($A983,2)+1)</f>
        <v/>
      </c>
    </row>
    <row r="984">
      <c r="A984" s="5" t="n">
        <v>46286</v>
      </c>
      <c r="B984" s="4" t="inlineStr">
        <is>
          <t>Main branch</t>
        </is>
      </c>
      <c r="C984" s="4" t="inlineStr">
        <is>
          <t>Main 3</t>
        </is>
      </c>
      <c r="D984" s="4" t="inlineStr">
        <is>
          <t>Dr Noura Al Subaie</t>
        </is>
      </c>
      <c r="E984" s="4" t="inlineStr">
        <is>
          <t>P-3129</t>
        </is>
      </c>
      <c r="F984" s="4" t="inlineStr">
        <is>
          <t>Returning</t>
        </is>
      </c>
      <c r="G984" s="4" t="inlineStr">
        <is>
          <t>Instagram</t>
        </is>
      </c>
      <c r="H984" s="4" t="inlineStr">
        <is>
          <t>Skin tag removal</t>
        </is>
      </c>
      <c r="I984" s="9">
        <f>IF($H984="","",IFERROR(INDEX('Settings'!$J$10:$J$39,MATCH($H984,'Settings'!$I$10:$I$39,0)),""))</f>
        <v/>
      </c>
      <c r="J984" s="6" t="n">
        <v>1</v>
      </c>
      <c r="K984" s="8" t="n">
        <v>500</v>
      </c>
      <c r="L984" s="8" t="n">
        <v>100</v>
      </c>
      <c r="M984" s="14">
        <f>IF($A984="","",$J984*$K984)</f>
        <v/>
      </c>
      <c r="N984" s="14">
        <f>IF($A984="","",$M984-$L984)</f>
        <v/>
      </c>
      <c r="O984" s="4" t="inlineStr">
        <is>
          <t>Cash</t>
        </is>
      </c>
      <c r="P984" s="15">
        <f>IF($A984="","",DATE(YEAR($A984),MONTH($A984),1))</f>
        <v/>
      </c>
      <c r="Q984" s="16">
        <f>IF($H984="","",$J984*IFERROR(INDEX('Settings'!$L$10:$L$39,MATCH($H984,'Settings'!$I$10:$I$39,0)),0))</f>
        <v/>
      </c>
      <c r="R984" s="17">
        <f>IF($A984="","",$A984-WEEKDAY($A984,2)+1)</f>
        <v/>
      </c>
    </row>
    <row r="985">
      <c r="A985" s="5" t="n">
        <v>46286</v>
      </c>
      <c r="B985" s="4" t="inlineStr">
        <is>
          <t>Main branch</t>
        </is>
      </c>
      <c r="C985" s="4" t="inlineStr">
        <is>
          <t>Main 4</t>
        </is>
      </c>
      <c r="D985" s="4" t="inlineStr">
        <is>
          <t>Dr Noura Al Subaie</t>
        </is>
      </c>
      <c r="E985" s="4" t="inlineStr">
        <is>
          <t>P-2344</t>
        </is>
      </c>
      <c r="F985" s="4" t="inlineStr">
        <is>
          <t>New</t>
        </is>
      </c>
      <c r="G985" s="4" t="inlineStr">
        <is>
          <t>Google</t>
        </is>
      </c>
      <c r="H985" s="4" t="inlineStr">
        <is>
          <t>Follow-up visit</t>
        </is>
      </c>
      <c r="I985" s="9">
        <f>IF($H985="","",IFERROR(INDEX('Settings'!$J$10:$J$39,MATCH($H985,'Settings'!$I$10:$I$39,0)),""))</f>
        <v/>
      </c>
      <c r="J985" s="6" t="n">
        <v>1</v>
      </c>
      <c r="K985" s="8" t="n">
        <v>150</v>
      </c>
      <c r="L985" s="8" t="n"/>
      <c r="M985" s="14">
        <f>IF($A985="","",$J985*$K985)</f>
        <v/>
      </c>
      <c r="N985" s="14">
        <f>IF($A985="","",$M985-$L985)</f>
        <v/>
      </c>
      <c r="O985" s="4" t="inlineStr">
        <is>
          <t>Card</t>
        </is>
      </c>
      <c r="P985" s="15">
        <f>IF($A985="","",DATE(YEAR($A985),MONTH($A985),1))</f>
        <v/>
      </c>
      <c r="Q985" s="16">
        <f>IF($H985="","",$J985*IFERROR(INDEX('Settings'!$L$10:$L$39,MATCH($H985,'Settings'!$I$10:$I$39,0)),0))</f>
        <v/>
      </c>
      <c r="R985" s="17">
        <f>IF($A985="","",$A985-WEEKDAY($A985,2)+1)</f>
        <v/>
      </c>
    </row>
    <row r="986">
      <c r="A986" s="5" t="n">
        <v>46286</v>
      </c>
      <c r="B986" s="4" t="inlineStr">
        <is>
          <t>Main branch</t>
        </is>
      </c>
      <c r="C986" s="4" t="inlineStr">
        <is>
          <t>Main 4</t>
        </is>
      </c>
      <c r="D986" s="4" t="inlineStr">
        <is>
          <t>Dr Sara Al Harbi</t>
        </is>
      </c>
      <c r="E986" s="4" t="inlineStr">
        <is>
          <t>P-3267</t>
        </is>
      </c>
      <c r="F986" s="4" t="inlineStr">
        <is>
          <t>New</t>
        </is>
      </c>
      <c r="G986" s="4" t="inlineStr">
        <is>
          <t>Google</t>
        </is>
      </c>
      <c r="H986" s="4" t="inlineStr">
        <is>
          <t>Physiotherapy session</t>
        </is>
      </c>
      <c r="I986" s="9">
        <f>IF($H986="","",IFERROR(INDEX('Settings'!$J$10:$J$39,MATCH($H986,'Settings'!$I$10:$I$39,0)),""))</f>
        <v/>
      </c>
      <c r="J986" s="6" t="n">
        <v>1</v>
      </c>
      <c r="K986" s="8" t="n">
        <v>300</v>
      </c>
      <c r="L986" s="8" t="n">
        <v>60</v>
      </c>
      <c r="M986" s="14">
        <f>IF($A986="","",$J986*$K986)</f>
        <v/>
      </c>
      <c r="N986" s="14">
        <f>IF($A986="","",$M986-$L986)</f>
        <v/>
      </c>
      <c r="O986" s="4" t="inlineStr">
        <is>
          <t>Cash</t>
        </is>
      </c>
      <c r="P986" s="15">
        <f>IF($A986="","",DATE(YEAR($A986),MONTH($A986),1))</f>
        <v/>
      </c>
      <c r="Q986" s="16">
        <f>IF($H986="","",$J986*IFERROR(INDEX('Settings'!$L$10:$L$39,MATCH($H986,'Settings'!$I$10:$I$39,0)),0))</f>
        <v/>
      </c>
      <c r="R986" s="17">
        <f>IF($A986="","",$A986-WEEKDAY($A986,2)+1)</f>
        <v/>
      </c>
    </row>
    <row r="987">
      <c r="A987" s="5" t="n">
        <v>46286</v>
      </c>
      <c r="B987" s="4" t="inlineStr">
        <is>
          <t>North branch</t>
        </is>
      </c>
      <c r="C987" s="4" t="inlineStr">
        <is>
          <t>North 1</t>
        </is>
      </c>
      <c r="D987" s="4" t="inlineStr">
        <is>
          <t>Dr Layla Al Qahtani</t>
        </is>
      </c>
      <c r="E987" s="4" t="inlineStr">
        <is>
          <t>P-2143</t>
        </is>
      </c>
      <c r="F987" s="4" t="inlineStr">
        <is>
          <t>Returning</t>
        </is>
      </c>
      <c r="G987" s="4" t="inlineStr">
        <is>
          <t>Instagram</t>
        </is>
      </c>
      <c r="H987" s="4" t="inlineStr">
        <is>
          <t>Follow-up visit</t>
        </is>
      </c>
      <c r="I987" s="9">
        <f>IF($H987="","",IFERROR(INDEX('Settings'!$J$10:$J$39,MATCH($H987,'Settings'!$I$10:$I$39,0)),""))</f>
        <v/>
      </c>
      <c r="J987" s="6" t="n">
        <v>1</v>
      </c>
      <c r="K987" s="8" t="n">
        <v>150</v>
      </c>
      <c r="L987" s="8" t="n"/>
      <c r="M987" s="14">
        <f>IF($A987="","",$J987*$K987)</f>
        <v/>
      </c>
      <c r="N987" s="14">
        <f>IF($A987="","",$M987-$L987)</f>
        <v/>
      </c>
      <c r="O987" s="4" t="inlineStr">
        <is>
          <t>Insurance</t>
        </is>
      </c>
      <c r="P987" s="15">
        <f>IF($A987="","",DATE(YEAR($A987),MONTH($A987),1))</f>
        <v/>
      </c>
      <c r="Q987" s="16">
        <f>IF($H987="","",$J987*IFERROR(INDEX('Settings'!$L$10:$L$39,MATCH($H987,'Settings'!$I$10:$I$39,0)),0))</f>
        <v/>
      </c>
      <c r="R987" s="17">
        <f>IF($A987="","",$A987-WEEKDAY($A987,2)+1)</f>
        <v/>
      </c>
    </row>
    <row r="988">
      <c r="A988" s="5" t="n">
        <v>46286</v>
      </c>
      <c r="B988" s="4" t="inlineStr">
        <is>
          <t>North branch</t>
        </is>
      </c>
      <c r="C988" s="4" t="inlineStr">
        <is>
          <t>North 1</t>
        </is>
      </c>
      <c r="D988" s="4" t="inlineStr">
        <is>
          <t>Dr Khaled Youssef</t>
        </is>
      </c>
      <c r="E988" s="4" t="inlineStr">
        <is>
          <t>P-3271</t>
        </is>
      </c>
      <c r="F988" s="4" t="inlineStr">
        <is>
          <t>Returning</t>
        </is>
      </c>
      <c r="G988" s="4" t="inlineStr">
        <is>
          <t>Instagram</t>
        </is>
      </c>
      <c r="H988" s="4" t="inlineStr">
        <is>
          <t>Follow-up visit</t>
        </is>
      </c>
      <c r="I988" s="9">
        <f>IF($H988="","",IFERROR(INDEX('Settings'!$J$10:$J$39,MATCH($H988,'Settings'!$I$10:$I$39,0)),""))</f>
        <v/>
      </c>
      <c r="J988" s="6" t="n">
        <v>1</v>
      </c>
      <c r="K988" s="8" t="n">
        <v>150</v>
      </c>
      <c r="L988" s="8" t="n"/>
      <c r="M988" s="14">
        <f>IF($A988="","",$J988*$K988)</f>
        <v/>
      </c>
      <c r="N988" s="14">
        <f>IF($A988="","",$M988-$L988)</f>
        <v/>
      </c>
      <c r="O988" s="4" t="inlineStr">
        <is>
          <t>Transfer</t>
        </is>
      </c>
      <c r="P988" s="15">
        <f>IF($A988="","",DATE(YEAR($A988),MONTH($A988),1))</f>
        <v/>
      </c>
      <c r="Q988" s="16">
        <f>IF($H988="","",$J988*IFERROR(INDEX('Settings'!$L$10:$L$39,MATCH($H988,'Settings'!$I$10:$I$39,0)),0))</f>
        <v/>
      </c>
      <c r="R988" s="17">
        <f>IF($A988="","",$A988-WEEKDAY($A988,2)+1)</f>
        <v/>
      </c>
    </row>
    <row r="989">
      <c r="A989" s="5" t="n">
        <v>46286</v>
      </c>
      <c r="B989" s="4" t="inlineStr">
        <is>
          <t>North branch</t>
        </is>
      </c>
      <c r="C989" s="4" t="inlineStr">
        <is>
          <t>North 1</t>
        </is>
      </c>
      <c r="D989" s="4" t="inlineStr">
        <is>
          <t>Dr Layla Al Qahtani</t>
        </is>
      </c>
      <c r="E989" s="4" t="inlineStr">
        <is>
          <t>P-2788</t>
        </is>
      </c>
      <c r="F989" s="4" t="inlineStr">
        <is>
          <t>Returning</t>
        </is>
      </c>
      <c r="G989" s="4" t="inlineStr">
        <is>
          <t>Referral</t>
        </is>
      </c>
      <c r="H989" s="4" t="inlineStr">
        <is>
          <t>Facial cleansing</t>
        </is>
      </c>
      <c r="I989" s="9">
        <f>IF($H989="","",IFERROR(INDEX('Settings'!$J$10:$J$39,MATCH($H989,'Settings'!$I$10:$I$39,0)),""))</f>
        <v/>
      </c>
      <c r="J989" s="6" t="n">
        <v>1</v>
      </c>
      <c r="K989" s="8" t="n">
        <v>400</v>
      </c>
      <c r="L989" s="8" t="n"/>
      <c r="M989" s="14">
        <f>IF($A989="","",$J989*$K989)</f>
        <v/>
      </c>
      <c r="N989" s="14">
        <f>IF($A989="","",$M989-$L989)</f>
        <v/>
      </c>
      <c r="O989" s="4" t="inlineStr">
        <is>
          <t>Cash</t>
        </is>
      </c>
      <c r="P989" s="15">
        <f>IF($A989="","",DATE(YEAR($A989),MONTH($A989),1))</f>
        <v/>
      </c>
      <c r="Q989" s="16">
        <f>IF($H989="","",$J989*IFERROR(INDEX('Settings'!$L$10:$L$39,MATCH($H989,'Settings'!$I$10:$I$39,0)),0))</f>
        <v/>
      </c>
      <c r="R989" s="17">
        <f>IF($A989="","",$A989-WEEKDAY($A989,2)+1)</f>
        <v/>
      </c>
    </row>
    <row r="990">
      <c r="A990" s="5" t="n">
        <v>46286</v>
      </c>
      <c r="B990" s="4" t="inlineStr">
        <is>
          <t>North branch</t>
        </is>
      </c>
      <c r="C990" s="4" t="inlineStr">
        <is>
          <t>North 1</t>
        </is>
      </c>
      <c r="D990" s="4" t="inlineStr">
        <is>
          <t>Dr Layla Al Qahtani</t>
        </is>
      </c>
      <c r="E990" s="4" t="inlineStr">
        <is>
          <t>P-2252</t>
        </is>
      </c>
      <c r="F990" s="4" t="inlineStr">
        <is>
          <t>Returning</t>
        </is>
      </c>
      <c r="G990" s="4" t="inlineStr">
        <is>
          <t>Referral</t>
        </is>
      </c>
      <c r="H990" s="4" t="inlineStr">
        <is>
          <t>Physiotherapy session</t>
        </is>
      </c>
      <c r="I990" s="9">
        <f>IF($H990="","",IFERROR(INDEX('Settings'!$J$10:$J$39,MATCH($H990,'Settings'!$I$10:$I$39,0)),""))</f>
        <v/>
      </c>
      <c r="J990" s="6" t="n">
        <v>1</v>
      </c>
      <c r="K990" s="8" t="n">
        <v>300</v>
      </c>
      <c r="L990" s="8" t="n"/>
      <c r="M990" s="14">
        <f>IF($A990="","",$J990*$K990)</f>
        <v/>
      </c>
      <c r="N990" s="14">
        <f>IF($A990="","",$M990-$L990)</f>
        <v/>
      </c>
      <c r="O990" s="4" t="inlineStr">
        <is>
          <t>Card</t>
        </is>
      </c>
      <c r="P990" s="15">
        <f>IF($A990="","",DATE(YEAR($A990),MONTH($A990),1))</f>
        <v/>
      </c>
      <c r="Q990" s="16">
        <f>IF($H990="","",$J990*IFERROR(INDEX('Settings'!$L$10:$L$39,MATCH($H990,'Settings'!$I$10:$I$39,0)),0))</f>
        <v/>
      </c>
      <c r="R990" s="17">
        <f>IF($A990="","",$A990-WEEKDAY($A990,2)+1)</f>
        <v/>
      </c>
    </row>
    <row r="991">
      <c r="A991" s="5" t="n">
        <v>46286</v>
      </c>
      <c r="B991" s="4" t="inlineStr">
        <is>
          <t>North branch</t>
        </is>
      </c>
      <c r="C991" s="4" t="inlineStr">
        <is>
          <t>North 2</t>
        </is>
      </c>
      <c r="D991" s="4" t="inlineStr">
        <is>
          <t>Dr Mohamed Adel</t>
        </is>
      </c>
      <c r="E991" s="4" t="inlineStr">
        <is>
          <t>P-3154</t>
        </is>
      </c>
      <c r="F991" s="4" t="inlineStr">
        <is>
          <t>Returning</t>
        </is>
      </c>
      <c r="G991" s="4" t="inlineStr">
        <is>
          <t>Instagram</t>
        </is>
      </c>
      <c r="H991" s="4" t="inlineStr">
        <is>
          <t>Laser session, face</t>
        </is>
      </c>
      <c r="I991" s="9">
        <f>IF($H991="","",IFERROR(INDEX('Settings'!$J$10:$J$39,MATCH($H991,'Settings'!$I$10:$I$39,0)),""))</f>
        <v/>
      </c>
      <c r="J991" s="6" t="n">
        <v>1</v>
      </c>
      <c r="K991" s="8" t="n">
        <v>600</v>
      </c>
      <c r="L991" s="8" t="n">
        <v>120</v>
      </c>
      <c r="M991" s="14">
        <f>IF($A991="","",$J991*$K991)</f>
        <v/>
      </c>
      <c r="N991" s="14">
        <f>IF($A991="","",$M991-$L991)</f>
        <v/>
      </c>
      <c r="O991" s="4" t="inlineStr">
        <is>
          <t>Card</t>
        </is>
      </c>
      <c r="P991" s="15">
        <f>IF($A991="","",DATE(YEAR($A991),MONTH($A991),1))</f>
        <v/>
      </c>
      <c r="Q991" s="16">
        <f>IF($H991="","",$J991*IFERROR(INDEX('Settings'!$L$10:$L$39,MATCH($H991,'Settings'!$I$10:$I$39,0)),0))</f>
        <v/>
      </c>
      <c r="R991" s="17">
        <f>IF($A991="","",$A991-WEEKDAY($A991,2)+1)</f>
        <v/>
      </c>
    </row>
    <row r="992">
      <c r="A992" s="5" t="n">
        <v>46286</v>
      </c>
      <c r="B992" s="4" t="inlineStr">
        <is>
          <t>North branch</t>
        </is>
      </c>
      <c r="C992" s="4" t="inlineStr">
        <is>
          <t>North 2</t>
        </is>
      </c>
      <c r="D992" s="4" t="inlineStr">
        <is>
          <t>Dr Khaled Youssef</t>
        </is>
      </c>
      <c r="E992" s="4" t="inlineStr">
        <is>
          <t>P-3091</t>
        </is>
      </c>
      <c r="F992" s="4" t="inlineStr">
        <is>
          <t>Returning</t>
        </is>
      </c>
      <c r="G992" s="4" t="inlineStr">
        <is>
          <t>WhatsApp</t>
        </is>
      </c>
      <c r="H992" s="4" t="inlineStr">
        <is>
          <t>Botulinum toxin</t>
        </is>
      </c>
      <c r="I992" s="9">
        <f>IF($H992="","",IFERROR(INDEX('Settings'!$J$10:$J$39,MATCH($H992,'Settings'!$I$10:$I$39,0)),""))</f>
        <v/>
      </c>
      <c r="J992" s="6" t="n">
        <v>1</v>
      </c>
      <c r="K992" s="8" t="n">
        <v>1500</v>
      </c>
      <c r="L992" s="8" t="n"/>
      <c r="M992" s="14">
        <f>IF($A992="","",$J992*$K992)</f>
        <v/>
      </c>
      <c r="N992" s="14">
        <f>IF($A992="","",$M992-$L992)</f>
        <v/>
      </c>
      <c r="O992" s="4" t="inlineStr">
        <is>
          <t>Payment link</t>
        </is>
      </c>
      <c r="P992" s="15">
        <f>IF($A992="","",DATE(YEAR($A992),MONTH($A992),1))</f>
        <v/>
      </c>
      <c r="Q992" s="16">
        <f>IF($H992="","",$J992*IFERROR(INDEX('Settings'!$L$10:$L$39,MATCH($H992,'Settings'!$I$10:$I$39,0)),0))</f>
        <v/>
      </c>
      <c r="R992" s="17">
        <f>IF($A992="","",$A992-WEEKDAY($A992,2)+1)</f>
        <v/>
      </c>
    </row>
    <row r="993">
      <c r="A993" s="5" t="n">
        <v>46286</v>
      </c>
      <c r="B993" s="4" t="inlineStr">
        <is>
          <t>North branch</t>
        </is>
      </c>
      <c r="C993" s="4" t="inlineStr">
        <is>
          <t>North 2</t>
        </is>
      </c>
      <c r="D993" s="4" t="inlineStr">
        <is>
          <t>Dr Khaled Youssef</t>
        </is>
      </c>
      <c r="E993" s="4" t="inlineStr">
        <is>
          <t>P-2470</t>
        </is>
      </c>
      <c r="F993" s="4" t="inlineStr">
        <is>
          <t>Returning</t>
        </is>
      </c>
      <c r="G993" s="4" t="inlineStr">
        <is>
          <t>Referral</t>
        </is>
      </c>
      <c r="H993" s="4" t="inlineStr">
        <is>
          <t>Specialist consultation</t>
        </is>
      </c>
      <c r="I993" s="9">
        <f>IF($H993="","",IFERROR(INDEX('Settings'!$J$10:$J$39,MATCH($H993,'Settings'!$I$10:$I$39,0)),""))</f>
        <v/>
      </c>
      <c r="J993" s="6" t="n">
        <v>1</v>
      </c>
      <c r="K993" s="8" t="n">
        <v>350</v>
      </c>
      <c r="L993" s="8" t="n"/>
      <c r="M993" s="14">
        <f>IF($A993="","",$J993*$K993)</f>
        <v/>
      </c>
      <c r="N993" s="14">
        <f>IF($A993="","",$M993-$L993)</f>
        <v/>
      </c>
      <c r="O993" s="4" t="inlineStr">
        <is>
          <t>Cash</t>
        </is>
      </c>
      <c r="P993" s="15">
        <f>IF($A993="","",DATE(YEAR($A993),MONTH($A993),1))</f>
        <v/>
      </c>
      <c r="Q993" s="16">
        <f>IF($H993="","",$J993*IFERROR(INDEX('Settings'!$L$10:$L$39,MATCH($H993,'Settings'!$I$10:$I$39,0)),0))</f>
        <v/>
      </c>
      <c r="R993" s="17">
        <f>IF($A993="","",$A993-WEEKDAY($A993,2)+1)</f>
        <v/>
      </c>
    </row>
    <row r="994">
      <c r="A994" s="5" t="n">
        <v>46287</v>
      </c>
      <c r="B994" s="4" t="inlineStr">
        <is>
          <t>Main branch</t>
        </is>
      </c>
      <c r="C994" s="4" t="inlineStr">
        <is>
          <t>Main 1</t>
        </is>
      </c>
      <c r="D994" s="4" t="inlineStr">
        <is>
          <t>Dr Sara Al Harbi</t>
        </is>
      </c>
      <c r="E994" s="4" t="inlineStr">
        <is>
          <t>P-2970</t>
        </is>
      </c>
      <c r="F994" s="4" t="inlineStr">
        <is>
          <t>Returning</t>
        </is>
      </c>
      <c r="G994" s="4" t="inlineStr">
        <is>
          <t>Instagram</t>
        </is>
      </c>
      <c r="H994" s="4" t="inlineStr">
        <is>
          <t>Vitamin C serum</t>
        </is>
      </c>
      <c r="I994" s="9">
        <f>IF($H994="","",IFERROR(INDEX('Settings'!$J$10:$J$39,MATCH($H994,'Settings'!$I$10:$I$39,0)),""))</f>
        <v/>
      </c>
      <c r="J994" s="6" t="n">
        <v>1</v>
      </c>
      <c r="K994" s="8" t="n">
        <v>220</v>
      </c>
      <c r="L994" s="8" t="n"/>
      <c r="M994" s="14">
        <f>IF($A994="","",$J994*$K994)</f>
        <v/>
      </c>
      <c r="N994" s="14">
        <f>IF($A994="","",$M994-$L994)</f>
        <v/>
      </c>
      <c r="O994" s="4" t="inlineStr">
        <is>
          <t>Insurance</t>
        </is>
      </c>
      <c r="P994" s="15">
        <f>IF($A994="","",DATE(YEAR($A994),MONTH($A994),1))</f>
        <v/>
      </c>
      <c r="Q994" s="16">
        <f>IF($H994="","",$J994*IFERROR(INDEX('Settings'!$L$10:$L$39,MATCH($H994,'Settings'!$I$10:$I$39,0)),0))</f>
        <v/>
      </c>
      <c r="R994" s="17">
        <f>IF($A994="","",$A994-WEEKDAY($A994,2)+1)</f>
        <v/>
      </c>
    </row>
    <row r="995">
      <c r="A995" s="5" t="n">
        <v>46287</v>
      </c>
      <c r="B995" s="4" t="inlineStr">
        <is>
          <t>Main branch</t>
        </is>
      </c>
      <c r="C995" s="4" t="inlineStr">
        <is>
          <t>Main 2</t>
        </is>
      </c>
      <c r="D995" s="4" t="inlineStr">
        <is>
          <t>Dr Ahmed Mansour</t>
        </is>
      </c>
      <c r="E995" s="4" t="inlineStr">
        <is>
          <t>P-3177</t>
        </is>
      </c>
      <c r="F995" s="4" t="inlineStr">
        <is>
          <t>Returning</t>
        </is>
      </c>
      <c r="G995" s="4" t="inlineStr">
        <is>
          <t>Instagram</t>
        </is>
      </c>
      <c r="H995" s="4" t="inlineStr">
        <is>
          <t>Vitamin C serum</t>
        </is>
      </c>
      <c r="I995" s="9">
        <f>IF($H995="","",IFERROR(INDEX('Settings'!$J$10:$J$39,MATCH($H995,'Settings'!$I$10:$I$39,0)),""))</f>
        <v/>
      </c>
      <c r="J995" s="6" t="n">
        <v>1</v>
      </c>
      <c r="K995" s="8" t="n">
        <v>220</v>
      </c>
      <c r="L995" s="8" t="n"/>
      <c r="M995" s="14">
        <f>IF($A995="","",$J995*$K995)</f>
        <v/>
      </c>
      <c r="N995" s="14">
        <f>IF($A995="","",$M995-$L995)</f>
        <v/>
      </c>
      <c r="O995" s="4" t="inlineStr">
        <is>
          <t>Transfer</t>
        </is>
      </c>
      <c r="P995" s="15">
        <f>IF($A995="","",DATE(YEAR($A995),MONTH($A995),1))</f>
        <v/>
      </c>
      <c r="Q995" s="16">
        <f>IF($H995="","",$J995*IFERROR(INDEX('Settings'!$L$10:$L$39,MATCH($H995,'Settings'!$I$10:$I$39,0)),0))</f>
        <v/>
      </c>
      <c r="R995" s="17">
        <f>IF($A995="","",$A995-WEEKDAY($A995,2)+1)</f>
        <v/>
      </c>
    </row>
    <row r="996">
      <c r="A996" s="5" t="n">
        <v>46287</v>
      </c>
      <c r="B996" s="4" t="inlineStr">
        <is>
          <t>Main branch</t>
        </is>
      </c>
      <c r="C996" s="4" t="inlineStr">
        <is>
          <t>Main 2</t>
        </is>
      </c>
      <c r="D996" s="4" t="inlineStr">
        <is>
          <t>Dr Ahmed Mansour</t>
        </is>
      </c>
      <c r="E996" s="4" t="inlineStr">
        <is>
          <t>P-2792</t>
        </is>
      </c>
      <c r="F996" s="4" t="inlineStr">
        <is>
          <t>Returning</t>
        </is>
      </c>
      <c r="G996" s="4" t="inlineStr">
        <is>
          <t>Google</t>
        </is>
      </c>
      <c r="H996" s="4" t="inlineStr">
        <is>
          <t>Facial cleansing</t>
        </is>
      </c>
      <c r="I996" s="9">
        <f>IF($H996="","",IFERROR(INDEX('Settings'!$J$10:$J$39,MATCH($H996,'Settings'!$I$10:$I$39,0)),""))</f>
        <v/>
      </c>
      <c r="J996" s="6" t="n">
        <v>1</v>
      </c>
      <c r="K996" s="8" t="n">
        <v>400</v>
      </c>
      <c r="L996" s="8" t="n">
        <v>80</v>
      </c>
      <c r="M996" s="14">
        <f>IF($A996="","",$J996*$K996)</f>
        <v/>
      </c>
      <c r="N996" s="14">
        <f>IF($A996="","",$M996-$L996)</f>
        <v/>
      </c>
      <c r="O996" s="4" t="inlineStr">
        <is>
          <t>Card</t>
        </is>
      </c>
      <c r="P996" s="15">
        <f>IF($A996="","",DATE(YEAR($A996),MONTH($A996),1))</f>
        <v/>
      </c>
      <c r="Q996" s="16">
        <f>IF($H996="","",$J996*IFERROR(INDEX('Settings'!$L$10:$L$39,MATCH($H996,'Settings'!$I$10:$I$39,0)),0))</f>
        <v/>
      </c>
      <c r="R996" s="17">
        <f>IF($A996="","",$A996-WEEKDAY($A996,2)+1)</f>
        <v/>
      </c>
    </row>
    <row r="997">
      <c r="A997" s="5" t="n">
        <v>46287</v>
      </c>
      <c r="B997" s="4" t="inlineStr">
        <is>
          <t>Main branch</t>
        </is>
      </c>
      <c r="C997" s="4" t="inlineStr">
        <is>
          <t>Main 3</t>
        </is>
      </c>
      <c r="D997" s="4" t="inlineStr">
        <is>
          <t>Dr Noura Al Subaie</t>
        </is>
      </c>
      <c r="E997" s="4" t="inlineStr">
        <is>
          <t>P-2487</t>
        </is>
      </c>
      <c r="F997" s="4" t="inlineStr">
        <is>
          <t>Returning</t>
        </is>
      </c>
      <c r="G997" s="4" t="inlineStr">
        <is>
          <t>Instagram</t>
        </is>
      </c>
      <c r="H997" s="4" t="inlineStr">
        <is>
          <t>Follow-up visit</t>
        </is>
      </c>
      <c r="I997" s="9">
        <f>IF($H997="","",IFERROR(INDEX('Settings'!$J$10:$J$39,MATCH($H997,'Settings'!$I$10:$I$39,0)),""))</f>
        <v/>
      </c>
      <c r="J997" s="6" t="n">
        <v>1</v>
      </c>
      <c r="K997" s="8" t="n">
        <v>150</v>
      </c>
      <c r="L997" s="8" t="n"/>
      <c r="M997" s="14">
        <f>IF($A997="","",$J997*$K997)</f>
        <v/>
      </c>
      <c r="N997" s="14">
        <f>IF($A997="","",$M997-$L997)</f>
        <v/>
      </c>
      <c r="O997" s="4" t="inlineStr">
        <is>
          <t>Card</t>
        </is>
      </c>
      <c r="P997" s="15">
        <f>IF($A997="","",DATE(YEAR($A997),MONTH($A997),1))</f>
        <v/>
      </c>
      <c r="Q997" s="16">
        <f>IF($H997="","",$J997*IFERROR(INDEX('Settings'!$L$10:$L$39,MATCH($H997,'Settings'!$I$10:$I$39,0)),0))</f>
        <v/>
      </c>
      <c r="R997" s="17">
        <f>IF($A997="","",$A997-WEEKDAY($A997,2)+1)</f>
        <v/>
      </c>
    </row>
    <row r="998">
      <c r="A998" s="5" t="n">
        <v>46287</v>
      </c>
      <c r="B998" s="4" t="inlineStr">
        <is>
          <t>Main branch</t>
        </is>
      </c>
      <c r="C998" s="4" t="inlineStr">
        <is>
          <t>Main 4</t>
        </is>
      </c>
      <c r="D998" s="4" t="inlineStr">
        <is>
          <t>Dr Sara Al Harbi</t>
        </is>
      </c>
      <c r="E998" s="4" t="inlineStr">
        <is>
          <t>P-2244</t>
        </is>
      </c>
      <c r="F998" s="4" t="inlineStr">
        <is>
          <t>New</t>
        </is>
      </c>
      <c r="G998" s="4" t="inlineStr">
        <is>
          <t>Walk-in</t>
        </is>
      </c>
      <c r="H998" s="4" t="inlineStr">
        <is>
          <t>Specialist consultation</t>
        </is>
      </c>
      <c r="I998" s="9">
        <f>IF($H998="","",IFERROR(INDEX('Settings'!$J$10:$J$39,MATCH($H998,'Settings'!$I$10:$I$39,0)),""))</f>
        <v/>
      </c>
      <c r="J998" s="6" t="n">
        <v>1</v>
      </c>
      <c r="K998" s="8" t="n">
        <v>350</v>
      </c>
      <c r="L998" s="8" t="n"/>
      <c r="M998" s="14">
        <f>IF($A998="","",$J998*$K998)</f>
        <v/>
      </c>
      <c r="N998" s="14">
        <f>IF($A998="","",$M998-$L998)</f>
        <v/>
      </c>
      <c r="O998" s="4" t="inlineStr">
        <is>
          <t>Card</t>
        </is>
      </c>
      <c r="P998" s="15">
        <f>IF($A998="","",DATE(YEAR($A998),MONTH($A998),1))</f>
        <v/>
      </c>
      <c r="Q998" s="16">
        <f>IF($H998="","",$J998*IFERROR(INDEX('Settings'!$L$10:$L$39,MATCH($H998,'Settings'!$I$10:$I$39,0)),0))</f>
        <v/>
      </c>
      <c r="R998" s="17">
        <f>IF($A998="","",$A998-WEEKDAY($A998,2)+1)</f>
        <v/>
      </c>
    </row>
    <row r="999">
      <c r="A999" s="5" t="n">
        <v>46287</v>
      </c>
      <c r="B999" s="4" t="inlineStr">
        <is>
          <t>Main branch</t>
        </is>
      </c>
      <c r="C999" s="4" t="inlineStr">
        <is>
          <t>Main 4</t>
        </is>
      </c>
      <c r="D999" s="4" t="inlineStr">
        <is>
          <t>Dr Sara Al Harbi</t>
        </is>
      </c>
      <c r="E999" s="4" t="inlineStr">
        <is>
          <t>P-3334</t>
        </is>
      </c>
      <c r="F999" s="4" t="inlineStr">
        <is>
          <t>New</t>
        </is>
      </c>
      <c r="G999" s="4" t="inlineStr">
        <is>
          <t>Instagram</t>
        </is>
      </c>
      <c r="H999" s="4" t="inlineStr">
        <is>
          <t>Specialist consultation</t>
        </is>
      </c>
      <c r="I999" s="9">
        <f>IF($H999="","",IFERROR(INDEX('Settings'!$J$10:$J$39,MATCH($H999,'Settings'!$I$10:$I$39,0)),""))</f>
        <v/>
      </c>
      <c r="J999" s="6" t="n">
        <v>1</v>
      </c>
      <c r="K999" s="8" t="n">
        <v>350</v>
      </c>
      <c r="L999" s="8" t="n"/>
      <c r="M999" s="14">
        <f>IF($A999="","",$J999*$K999)</f>
        <v/>
      </c>
      <c r="N999" s="14">
        <f>IF($A999="","",$M999-$L999)</f>
        <v/>
      </c>
      <c r="O999" s="4" t="inlineStr">
        <is>
          <t>Card</t>
        </is>
      </c>
      <c r="P999" s="15">
        <f>IF($A999="","",DATE(YEAR($A999),MONTH($A999),1))</f>
        <v/>
      </c>
      <c r="Q999" s="16">
        <f>IF($H999="","",$J999*IFERROR(INDEX('Settings'!$L$10:$L$39,MATCH($H999,'Settings'!$I$10:$I$39,0)),0))</f>
        <v/>
      </c>
      <c r="R999" s="17">
        <f>IF($A999="","",$A999-WEEKDAY($A999,2)+1)</f>
        <v/>
      </c>
    </row>
    <row r="1000">
      <c r="A1000" s="5" t="n">
        <v>46287</v>
      </c>
      <c r="B1000" s="4" t="inlineStr">
        <is>
          <t>North branch</t>
        </is>
      </c>
      <c r="C1000" s="4" t="inlineStr">
        <is>
          <t>North 1</t>
        </is>
      </c>
      <c r="D1000" s="4" t="inlineStr">
        <is>
          <t>Dr Layla Al Qahtani</t>
        </is>
      </c>
      <c r="E1000" s="4" t="inlineStr">
        <is>
          <t>P-3264</t>
        </is>
      </c>
      <c r="F1000" s="4" t="inlineStr">
        <is>
          <t>Returning</t>
        </is>
      </c>
      <c r="G1000" s="4" t="inlineStr">
        <is>
          <t>Instagram</t>
        </is>
      </c>
      <c r="H1000" s="4" t="inlineStr">
        <is>
          <t>Facial cleansing</t>
        </is>
      </c>
      <c r="I1000" s="9">
        <f>IF($H1000="","",IFERROR(INDEX('Settings'!$J$10:$J$39,MATCH($H1000,'Settings'!$I$10:$I$39,0)),""))</f>
        <v/>
      </c>
      <c r="J1000" s="6" t="n">
        <v>1</v>
      </c>
      <c r="K1000" s="8" t="n">
        <v>400</v>
      </c>
      <c r="L1000" s="8" t="n"/>
      <c r="M1000" s="14">
        <f>IF($A1000="","",$J1000*$K1000)</f>
        <v/>
      </c>
      <c r="N1000" s="14">
        <f>IF($A1000="","",$M1000-$L1000)</f>
        <v/>
      </c>
      <c r="O1000" s="4" t="inlineStr">
        <is>
          <t>Card</t>
        </is>
      </c>
      <c r="P1000" s="15">
        <f>IF($A1000="","",DATE(YEAR($A1000),MONTH($A1000),1))</f>
        <v/>
      </c>
      <c r="Q1000" s="16">
        <f>IF($H1000="","",$J1000*IFERROR(INDEX('Settings'!$L$10:$L$39,MATCH($H1000,'Settings'!$I$10:$I$39,0)),0))</f>
        <v/>
      </c>
      <c r="R1000" s="17">
        <f>IF($A1000="","",$A1000-WEEKDAY($A1000,2)+1)</f>
        <v/>
      </c>
    </row>
    <row r="1001">
      <c r="A1001" s="5" t="n">
        <v>46287</v>
      </c>
      <c r="B1001" s="4" t="inlineStr">
        <is>
          <t>North branch</t>
        </is>
      </c>
      <c r="C1001" s="4" t="inlineStr">
        <is>
          <t>North 1</t>
        </is>
      </c>
      <c r="D1001" s="4" t="inlineStr">
        <is>
          <t>Dr Layla Al Qahtani</t>
        </is>
      </c>
      <c r="E1001" s="4" t="inlineStr">
        <is>
          <t>P-2952</t>
        </is>
      </c>
      <c r="F1001" s="4" t="inlineStr">
        <is>
          <t>Returning</t>
        </is>
      </c>
      <c r="G1001" s="4" t="inlineStr">
        <is>
          <t>Walk-in</t>
        </is>
      </c>
      <c r="H1001" s="4" t="inlineStr">
        <is>
          <t>Botulinum toxin</t>
        </is>
      </c>
      <c r="I1001" s="9">
        <f>IF($H1001="","",IFERROR(INDEX('Settings'!$J$10:$J$39,MATCH($H1001,'Settings'!$I$10:$I$39,0)),""))</f>
        <v/>
      </c>
      <c r="J1001" s="6" t="n">
        <v>1</v>
      </c>
      <c r="K1001" s="8" t="n">
        <v>1500</v>
      </c>
      <c r="L1001" s="8" t="n"/>
      <c r="M1001" s="14">
        <f>IF($A1001="","",$J1001*$K1001)</f>
        <v/>
      </c>
      <c r="N1001" s="14">
        <f>IF($A1001="","",$M1001-$L1001)</f>
        <v/>
      </c>
      <c r="O1001" s="4" t="inlineStr">
        <is>
          <t>Card</t>
        </is>
      </c>
      <c r="P1001" s="15">
        <f>IF($A1001="","",DATE(YEAR($A1001),MONTH($A1001),1))</f>
        <v/>
      </c>
      <c r="Q1001" s="16">
        <f>IF($H1001="","",$J1001*IFERROR(INDEX('Settings'!$L$10:$L$39,MATCH($H1001,'Settings'!$I$10:$I$39,0)),0))</f>
        <v/>
      </c>
      <c r="R1001" s="17">
        <f>IF($A1001="","",$A1001-WEEKDAY($A1001,2)+1)</f>
        <v/>
      </c>
    </row>
    <row r="1002">
      <c r="A1002" s="5" t="n">
        <v>46287</v>
      </c>
      <c r="B1002" s="4" t="inlineStr">
        <is>
          <t>North branch</t>
        </is>
      </c>
      <c r="C1002" s="4" t="inlineStr">
        <is>
          <t>North 1</t>
        </is>
      </c>
      <c r="D1002" s="4" t="inlineStr">
        <is>
          <t>Dr Layla Al Qahtani</t>
        </is>
      </c>
      <c r="E1002" s="4" t="inlineStr">
        <is>
          <t>P-2692</t>
        </is>
      </c>
      <c r="F1002" s="4" t="inlineStr">
        <is>
          <t>Returning</t>
        </is>
      </c>
      <c r="G1002" s="4" t="inlineStr">
        <is>
          <t>Walk-in</t>
        </is>
      </c>
      <c r="H1002" s="4" t="inlineStr">
        <is>
          <t>Sunscreen cream</t>
        </is>
      </c>
      <c r="I1002" s="9">
        <f>IF($H1002="","",IFERROR(INDEX('Settings'!$J$10:$J$39,MATCH($H1002,'Settings'!$I$10:$I$39,0)),""))</f>
        <v/>
      </c>
      <c r="J1002" s="6" t="n">
        <v>1</v>
      </c>
      <c r="K1002" s="8" t="n">
        <v>120</v>
      </c>
      <c r="L1002" s="8" t="n">
        <v>10</v>
      </c>
      <c r="M1002" s="14">
        <f>IF($A1002="","",$J1002*$K1002)</f>
        <v/>
      </c>
      <c r="N1002" s="14">
        <f>IF($A1002="","",$M1002-$L1002)</f>
        <v/>
      </c>
      <c r="O1002" s="4" t="inlineStr">
        <is>
          <t>Cash</t>
        </is>
      </c>
      <c r="P1002" s="15">
        <f>IF($A1002="","",DATE(YEAR($A1002),MONTH($A1002),1))</f>
        <v/>
      </c>
      <c r="Q1002" s="16">
        <f>IF($H1002="","",$J1002*IFERROR(INDEX('Settings'!$L$10:$L$39,MATCH($H1002,'Settings'!$I$10:$I$39,0)),0))</f>
        <v/>
      </c>
      <c r="R1002" s="17">
        <f>IF($A1002="","",$A1002-WEEKDAY($A1002,2)+1)</f>
        <v/>
      </c>
    </row>
    <row r="1003">
      <c r="A1003" s="5" t="n">
        <v>46287</v>
      </c>
      <c r="B1003" s="4" t="inlineStr">
        <is>
          <t>North branch</t>
        </is>
      </c>
      <c r="C1003" s="4" t="inlineStr">
        <is>
          <t>North 1</t>
        </is>
      </c>
      <c r="D1003" s="4" t="inlineStr">
        <is>
          <t>Dr Layla Al Qahtani</t>
        </is>
      </c>
      <c r="E1003" s="4" t="inlineStr">
        <is>
          <t>P-2874</t>
        </is>
      </c>
      <c r="F1003" s="4" t="inlineStr">
        <is>
          <t>Returning</t>
        </is>
      </c>
      <c r="G1003" s="4" t="inlineStr">
        <is>
          <t>WhatsApp</t>
        </is>
      </c>
      <c r="H1003" s="4" t="inlineStr">
        <is>
          <t>Sunscreen cream</t>
        </is>
      </c>
      <c r="I1003" s="9">
        <f>IF($H1003="","",IFERROR(INDEX('Settings'!$J$10:$J$39,MATCH($H1003,'Settings'!$I$10:$I$39,0)),""))</f>
        <v/>
      </c>
      <c r="J1003" s="6" t="n">
        <v>1</v>
      </c>
      <c r="K1003" s="8" t="n">
        <v>120</v>
      </c>
      <c r="L1003" s="8" t="n"/>
      <c r="M1003" s="14">
        <f>IF($A1003="","",$J1003*$K1003)</f>
        <v/>
      </c>
      <c r="N1003" s="14">
        <f>IF($A1003="","",$M1003-$L1003)</f>
        <v/>
      </c>
      <c r="O1003" s="4" t="inlineStr">
        <is>
          <t>Card</t>
        </is>
      </c>
      <c r="P1003" s="15">
        <f>IF($A1003="","",DATE(YEAR($A1003),MONTH($A1003),1))</f>
        <v/>
      </c>
      <c r="Q1003" s="16">
        <f>IF($H1003="","",$J1003*IFERROR(INDEX('Settings'!$L$10:$L$39,MATCH($H1003,'Settings'!$I$10:$I$39,0)),0))</f>
        <v/>
      </c>
      <c r="R1003" s="17">
        <f>IF($A1003="","",$A1003-WEEKDAY($A1003,2)+1)</f>
        <v/>
      </c>
    </row>
    <row r="1004">
      <c r="A1004" s="5" t="n">
        <v>46287</v>
      </c>
      <c r="B1004" s="4" t="inlineStr">
        <is>
          <t>North branch</t>
        </is>
      </c>
      <c r="C1004" s="4" t="inlineStr">
        <is>
          <t>North 1</t>
        </is>
      </c>
      <c r="D1004" s="4" t="inlineStr">
        <is>
          <t>Dr Khaled Youssef</t>
        </is>
      </c>
      <c r="E1004" s="4" t="inlineStr">
        <is>
          <t>P-2673</t>
        </is>
      </c>
      <c r="F1004" s="4" t="inlineStr">
        <is>
          <t>Returning</t>
        </is>
      </c>
      <c r="G1004" s="4" t="inlineStr">
        <is>
          <t>Instagram</t>
        </is>
      </c>
      <c r="H1004" s="4" t="inlineStr">
        <is>
          <t>Laser session, body</t>
        </is>
      </c>
      <c r="I1004" s="9">
        <f>IF($H1004="","",IFERROR(INDEX('Settings'!$J$10:$J$39,MATCH($H1004,'Settings'!$I$10:$I$39,0)),""))</f>
        <v/>
      </c>
      <c r="J1004" s="6" t="n">
        <v>1</v>
      </c>
      <c r="K1004" s="8" t="n">
        <v>1200</v>
      </c>
      <c r="L1004" s="8" t="n">
        <v>240</v>
      </c>
      <c r="M1004" s="14">
        <f>IF($A1004="","",$J1004*$K1004)</f>
        <v/>
      </c>
      <c r="N1004" s="14">
        <f>IF($A1004="","",$M1004-$L1004)</f>
        <v/>
      </c>
      <c r="O1004" s="4" t="inlineStr">
        <is>
          <t>Card</t>
        </is>
      </c>
      <c r="P1004" s="15">
        <f>IF($A1004="","",DATE(YEAR($A1004),MONTH($A1004),1))</f>
        <v/>
      </c>
      <c r="Q1004" s="16">
        <f>IF($H1004="","",$J1004*IFERROR(INDEX('Settings'!$L$10:$L$39,MATCH($H1004,'Settings'!$I$10:$I$39,0)),0))</f>
        <v/>
      </c>
      <c r="R1004" s="17">
        <f>IF($A1004="","",$A1004-WEEKDAY($A1004,2)+1)</f>
        <v/>
      </c>
    </row>
    <row r="1005">
      <c r="A1005" s="5" t="n">
        <v>46287</v>
      </c>
      <c r="B1005" s="4" t="inlineStr">
        <is>
          <t>North branch</t>
        </is>
      </c>
      <c r="C1005" s="4" t="inlineStr">
        <is>
          <t>North 2</t>
        </is>
      </c>
      <c r="D1005" s="4" t="inlineStr">
        <is>
          <t>Dr Layla Al Qahtani</t>
        </is>
      </c>
      <c r="E1005" s="4" t="inlineStr">
        <is>
          <t>P-2262</t>
        </is>
      </c>
      <c r="F1005" s="4" t="inlineStr">
        <is>
          <t>Returning</t>
        </is>
      </c>
      <c r="G1005" s="4" t="inlineStr">
        <is>
          <t>Google</t>
        </is>
      </c>
      <c r="H1005" s="4" t="inlineStr">
        <is>
          <t>Follow-up visit</t>
        </is>
      </c>
      <c r="I1005" s="9">
        <f>IF($H1005="","",IFERROR(INDEX('Settings'!$J$10:$J$39,MATCH($H1005,'Settings'!$I$10:$I$39,0)),""))</f>
        <v/>
      </c>
      <c r="J1005" s="6" t="n">
        <v>1</v>
      </c>
      <c r="K1005" s="8" t="n">
        <v>150</v>
      </c>
      <c r="L1005" s="8" t="n"/>
      <c r="M1005" s="14">
        <f>IF($A1005="","",$J1005*$K1005)</f>
        <v/>
      </c>
      <c r="N1005" s="14">
        <f>IF($A1005="","",$M1005-$L1005)</f>
        <v/>
      </c>
      <c r="O1005" s="4" t="inlineStr">
        <is>
          <t>Cash</t>
        </is>
      </c>
      <c r="P1005" s="15">
        <f>IF($A1005="","",DATE(YEAR($A1005),MONTH($A1005),1))</f>
        <v/>
      </c>
      <c r="Q1005" s="16">
        <f>IF($H1005="","",$J1005*IFERROR(INDEX('Settings'!$L$10:$L$39,MATCH($H1005,'Settings'!$I$10:$I$39,0)),0))</f>
        <v/>
      </c>
      <c r="R1005" s="17">
        <f>IF($A1005="","",$A1005-WEEKDAY($A1005,2)+1)</f>
        <v/>
      </c>
    </row>
    <row r="1006">
      <c r="A1006" s="5" t="n">
        <v>46287</v>
      </c>
      <c r="B1006" s="4" t="inlineStr">
        <is>
          <t>North branch</t>
        </is>
      </c>
      <c r="C1006" s="4" t="inlineStr">
        <is>
          <t>North 2</t>
        </is>
      </c>
      <c r="D1006" s="4" t="inlineStr">
        <is>
          <t>Dr Khaled Youssef</t>
        </is>
      </c>
      <c r="E1006" s="4" t="inlineStr">
        <is>
          <t>P-2319</t>
        </is>
      </c>
      <c r="F1006" s="4" t="inlineStr">
        <is>
          <t>Returning</t>
        </is>
      </c>
      <c r="G1006" s="4" t="inlineStr">
        <is>
          <t>Google</t>
        </is>
      </c>
      <c r="H1006" s="4" t="inlineStr">
        <is>
          <t>Laser session, body</t>
        </is>
      </c>
      <c r="I1006" s="9">
        <f>IF($H1006="","",IFERROR(INDEX('Settings'!$J$10:$J$39,MATCH($H1006,'Settings'!$I$10:$I$39,0)),""))</f>
        <v/>
      </c>
      <c r="J1006" s="6" t="n">
        <v>1</v>
      </c>
      <c r="K1006" s="8" t="n">
        <v>1200</v>
      </c>
      <c r="L1006" s="8" t="n"/>
      <c r="M1006" s="14">
        <f>IF($A1006="","",$J1006*$K1006)</f>
        <v/>
      </c>
      <c r="N1006" s="14">
        <f>IF($A1006="","",$M1006-$L1006)</f>
        <v/>
      </c>
      <c r="O1006" s="4" t="inlineStr">
        <is>
          <t>Transfer</t>
        </is>
      </c>
      <c r="P1006" s="15">
        <f>IF($A1006="","",DATE(YEAR($A1006),MONTH($A1006),1))</f>
        <v/>
      </c>
      <c r="Q1006" s="16">
        <f>IF($H1006="","",$J1006*IFERROR(INDEX('Settings'!$L$10:$L$39,MATCH($H1006,'Settings'!$I$10:$I$39,0)),0))</f>
        <v/>
      </c>
      <c r="R1006" s="17">
        <f>IF($A1006="","",$A1006-WEEKDAY($A1006,2)+1)</f>
        <v/>
      </c>
    </row>
    <row r="1007">
      <c r="A1007" s="5" t="n">
        <v>46287</v>
      </c>
      <c r="B1007" s="4" t="inlineStr">
        <is>
          <t>North branch</t>
        </is>
      </c>
      <c r="C1007" s="4" t="inlineStr">
        <is>
          <t>North 2</t>
        </is>
      </c>
      <c r="D1007" s="4" t="inlineStr">
        <is>
          <t>Dr Layla Al Qahtani</t>
        </is>
      </c>
      <c r="E1007" s="4" t="inlineStr">
        <is>
          <t>P-2529</t>
        </is>
      </c>
      <c r="F1007" s="4" t="inlineStr">
        <is>
          <t>Returning</t>
        </is>
      </c>
      <c r="G1007" s="4" t="inlineStr">
        <is>
          <t>Google</t>
        </is>
      </c>
      <c r="H1007" s="4" t="inlineStr">
        <is>
          <t>Laser session, face</t>
        </is>
      </c>
      <c r="I1007" s="9">
        <f>IF($H1007="","",IFERROR(INDEX('Settings'!$J$10:$J$39,MATCH($H1007,'Settings'!$I$10:$I$39,0)),""))</f>
        <v/>
      </c>
      <c r="J1007" s="6" t="n">
        <v>1</v>
      </c>
      <c r="K1007" s="8" t="n">
        <v>600</v>
      </c>
      <c r="L1007" s="8" t="n"/>
      <c r="M1007" s="14">
        <f>IF($A1007="","",$J1007*$K1007)</f>
        <v/>
      </c>
      <c r="N1007" s="14">
        <f>IF($A1007="","",$M1007-$L1007)</f>
        <v/>
      </c>
      <c r="O1007" s="4" t="inlineStr">
        <is>
          <t>Cash</t>
        </is>
      </c>
      <c r="P1007" s="15">
        <f>IF($A1007="","",DATE(YEAR($A1007),MONTH($A1007),1))</f>
        <v/>
      </c>
      <c r="Q1007" s="16">
        <f>IF($H1007="","",$J1007*IFERROR(INDEX('Settings'!$L$10:$L$39,MATCH($H1007,'Settings'!$I$10:$I$39,0)),0))</f>
        <v/>
      </c>
      <c r="R1007" s="17">
        <f>IF($A1007="","",$A1007-WEEKDAY($A1007,2)+1)</f>
        <v/>
      </c>
    </row>
    <row r="1008">
      <c r="A1008" s="5" t="n">
        <v>46287</v>
      </c>
      <c r="B1008" s="4" t="inlineStr">
        <is>
          <t>North branch</t>
        </is>
      </c>
      <c r="C1008" s="4" t="inlineStr">
        <is>
          <t>North 2</t>
        </is>
      </c>
      <c r="D1008" s="4" t="inlineStr">
        <is>
          <t>Dr Khaled Youssef</t>
        </is>
      </c>
      <c r="E1008" s="4" t="inlineStr">
        <is>
          <t>P-2306</t>
        </is>
      </c>
      <c r="F1008" s="4" t="inlineStr">
        <is>
          <t>New</t>
        </is>
      </c>
      <c r="G1008" s="4" t="inlineStr">
        <is>
          <t>Google</t>
        </is>
      </c>
      <c r="H1008" s="4" t="inlineStr">
        <is>
          <t>Specialist consultation</t>
        </is>
      </c>
      <c r="I1008" s="9">
        <f>IF($H1008="","",IFERROR(INDEX('Settings'!$J$10:$J$39,MATCH($H1008,'Settings'!$I$10:$I$39,0)),""))</f>
        <v/>
      </c>
      <c r="J1008" s="6" t="n">
        <v>1</v>
      </c>
      <c r="K1008" s="8" t="n">
        <v>350</v>
      </c>
      <c r="L1008" s="8" t="n"/>
      <c r="M1008" s="14">
        <f>IF($A1008="","",$J1008*$K1008)</f>
        <v/>
      </c>
      <c r="N1008" s="14">
        <f>IF($A1008="","",$M1008-$L1008)</f>
        <v/>
      </c>
      <c r="O1008" s="4" t="inlineStr">
        <is>
          <t>Card</t>
        </is>
      </c>
      <c r="P1008" s="15">
        <f>IF($A1008="","",DATE(YEAR($A1008),MONTH($A1008),1))</f>
        <v/>
      </c>
      <c r="Q1008" s="16">
        <f>IF($H1008="","",$J1008*IFERROR(INDEX('Settings'!$L$10:$L$39,MATCH($H1008,'Settings'!$I$10:$I$39,0)),0))</f>
        <v/>
      </c>
      <c r="R1008" s="17">
        <f>IF($A1008="","",$A1008-WEEKDAY($A1008,2)+1)</f>
        <v/>
      </c>
    </row>
    <row r="1009">
      <c r="A1009" s="5" t="n">
        <v>46288</v>
      </c>
      <c r="B1009" s="4" t="inlineStr">
        <is>
          <t>Main branch</t>
        </is>
      </c>
      <c r="C1009" s="4" t="inlineStr">
        <is>
          <t>Main 1</t>
        </is>
      </c>
      <c r="D1009" s="4" t="inlineStr">
        <is>
          <t>Dr Sara Al Harbi</t>
        </is>
      </c>
      <c r="E1009" s="4" t="inlineStr">
        <is>
          <t>P-2197</t>
        </is>
      </c>
      <c r="F1009" s="4" t="inlineStr">
        <is>
          <t>New</t>
        </is>
      </c>
      <c r="G1009" s="4" t="inlineStr">
        <is>
          <t>Instagram</t>
        </is>
      </c>
      <c r="H1009" s="4" t="inlineStr">
        <is>
          <t>Specialist consultation</t>
        </is>
      </c>
      <c r="I1009" s="9">
        <f>IF($H1009="","",IFERROR(INDEX('Settings'!$J$10:$J$39,MATCH($H1009,'Settings'!$I$10:$I$39,0)),""))</f>
        <v/>
      </c>
      <c r="J1009" s="6" t="n">
        <v>1</v>
      </c>
      <c r="K1009" s="8" t="n">
        <v>350</v>
      </c>
      <c r="L1009" s="8" t="n"/>
      <c r="M1009" s="14">
        <f>IF($A1009="","",$J1009*$K1009)</f>
        <v/>
      </c>
      <c r="N1009" s="14">
        <f>IF($A1009="","",$M1009-$L1009)</f>
        <v/>
      </c>
      <c r="O1009" s="4" t="inlineStr">
        <is>
          <t>Card</t>
        </is>
      </c>
      <c r="P1009" s="15">
        <f>IF($A1009="","",DATE(YEAR($A1009),MONTH($A1009),1))</f>
        <v/>
      </c>
      <c r="Q1009" s="16">
        <f>IF($H1009="","",$J1009*IFERROR(INDEX('Settings'!$L$10:$L$39,MATCH($H1009,'Settings'!$I$10:$I$39,0)),0))</f>
        <v/>
      </c>
      <c r="R1009" s="17">
        <f>IF($A1009="","",$A1009-WEEKDAY($A1009,2)+1)</f>
        <v/>
      </c>
    </row>
    <row r="1010">
      <c r="A1010" s="5" t="n">
        <v>46288</v>
      </c>
      <c r="B1010" s="4" t="inlineStr">
        <is>
          <t>Main branch</t>
        </is>
      </c>
      <c r="C1010" s="4" t="inlineStr">
        <is>
          <t>Main 1</t>
        </is>
      </c>
      <c r="D1010" s="4" t="inlineStr">
        <is>
          <t>Dr Noura Al Subaie</t>
        </is>
      </c>
      <c r="E1010" s="4" t="inlineStr">
        <is>
          <t>P-3147</t>
        </is>
      </c>
      <c r="F1010" s="4" t="inlineStr">
        <is>
          <t>Returning</t>
        </is>
      </c>
      <c r="G1010" s="4" t="inlineStr">
        <is>
          <t>Walk-in</t>
        </is>
      </c>
      <c r="H1010" s="4" t="inlineStr">
        <is>
          <t>Chemical peel</t>
        </is>
      </c>
      <c r="I1010" s="9">
        <f>IF($H1010="","",IFERROR(INDEX('Settings'!$J$10:$J$39,MATCH($H1010,'Settings'!$I$10:$I$39,0)),""))</f>
        <v/>
      </c>
      <c r="J1010" s="6" t="n">
        <v>1</v>
      </c>
      <c r="K1010" s="8" t="n">
        <v>800</v>
      </c>
      <c r="L1010" s="8" t="n"/>
      <c r="M1010" s="14">
        <f>IF($A1010="","",$J1010*$K1010)</f>
        <v/>
      </c>
      <c r="N1010" s="14">
        <f>IF($A1010="","",$M1010-$L1010)</f>
        <v/>
      </c>
      <c r="O1010" s="4" t="inlineStr">
        <is>
          <t>Card</t>
        </is>
      </c>
      <c r="P1010" s="15">
        <f>IF($A1010="","",DATE(YEAR($A1010),MONTH($A1010),1))</f>
        <v/>
      </c>
      <c r="Q1010" s="16">
        <f>IF($H1010="","",$J1010*IFERROR(INDEX('Settings'!$L$10:$L$39,MATCH($H1010,'Settings'!$I$10:$I$39,0)),0))</f>
        <v/>
      </c>
      <c r="R1010" s="17">
        <f>IF($A1010="","",$A1010-WEEKDAY($A1010,2)+1)</f>
        <v/>
      </c>
    </row>
    <row r="1011">
      <c r="A1011" s="5" t="n">
        <v>46288</v>
      </c>
      <c r="B1011" s="4" t="inlineStr">
        <is>
          <t>Main branch</t>
        </is>
      </c>
      <c r="C1011" s="4" t="inlineStr">
        <is>
          <t>Main 2</t>
        </is>
      </c>
      <c r="D1011" s="4" t="inlineStr">
        <is>
          <t>Dr Sara Al Harbi</t>
        </is>
      </c>
      <c r="E1011" s="4" t="inlineStr">
        <is>
          <t>P-2998</t>
        </is>
      </c>
      <c r="F1011" s="4" t="inlineStr">
        <is>
          <t>Returning</t>
        </is>
      </c>
      <c r="G1011" s="4" t="inlineStr">
        <is>
          <t>Google</t>
        </is>
      </c>
      <c r="H1011" s="4" t="inlineStr">
        <is>
          <t>Botulinum toxin</t>
        </is>
      </c>
      <c r="I1011" s="9">
        <f>IF($H1011="","",IFERROR(INDEX('Settings'!$J$10:$J$39,MATCH($H1011,'Settings'!$I$10:$I$39,0)),""))</f>
        <v/>
      </c>
      <c r="J1011" s="6" t="n">
        <v>1</v>
      </c>
      <c r="K1011" s="8" t="n">
        <v>1500</v>
      </c>
      <c r="L1011" s="8" t="n"/>
      <c r="M1011" s="14">
        <f>IF($A1011="","",$J1011*$K1011)</f>
        <v/>
      </c>
      <c r="N1011" s="14">
        <f>IF($A1011="","",$M1011-$L1011)</f>
        <v/>
      </c>
      <c r="O1011" s="4" t="inlineStr">
        <is>
          <t>Payment link</t>
        </is>
      </c>
      <c r="P1011" s="15">
        <f>IF($A1011="","",DATE(YEAR($A1011),MONTH($A1011),1))</f>
        <v/>
      </c>
      <c r="Q1011" s="16">
        <f>IF($H1011="","",$J1011*IFERROR(INDEX('Settings'!$L$10:$L$39,MATCH($H1011,'Settings'!$I$10:$I$39,0)),0))</f>
        <v/>
      </c>
      <c r="R1011" s="17">
        <f>IF($A1011="","",$A1011-WEEKDAY($A1011,2)+1)</f>
        <v/>
      </c>
    </row>
    <row r="1012">
      <c r="A1012" s="5" t="n">
        <v>46288</v>
      </c>
      <c r="B1012" s="4" t="inlineStr">
        <is>
          <t>Main branch</t>
        </is>
      </c>
      <c r="C1012" s="4" t="inlineStr">
        <is>
          <t>Main 2</t>
        </is>
      </c>
      <c r="D1012" s="4" t="inlineStr">
        <is>
          <t>Dr Sara Al Harbi</t>
        </is>
      </c>
      <c r="E1012" s="4" t="inlineStr">
        <is>
          <t>P-2538</t>
        </is>
      </c>
      <c r="F1012" s="4" t="inlineStr">
        <is>
          <t>Returning</t>
        </is>
      </c>
      <c r="G1012" s="4" t="inlineStr">
        <is>
          <t>Instagram</t>
        </is>
      </c>
      <c r="H1012" s="4" t="inlineStr">
        <is>
          <t>Laser session, face</t>
        </is>
      </c>
      <c r="I1012" s="9">
        <f>IF($H1012="","",IFERROR(INDEX('Settings'!$J$10:$J$39,MATCH($H1012,'Settings'!$I$10:$I$39,0)),""))</f>
        <v/>
      </c>
      <c r="J1012" s="6" t="n">
        <v>1</v>
      </c>
      <c r="K1012" s="8" t="n">
        <v>600</v>
      </c>
      <c r="L1012" s="8" t="n">
        <v>120</v>
      </c>
      <c r="M1012" s="14">
        <f>IF($A1012="","",$J1012*$K1012)</f>
        <v/>
      </c>
      <c r="N1012" s="14">
        <f>IF($A1012="","",$M1012-$L1012)</f>
        <v/>
      </c>
      <c r="O1012" s="4" t="inlineStr">
        <is>
          <t>Card</t>
        </is>
      </c>
      <c r="P1012" s="15">
        <f>IF($A1012="","",DATE(YEAR($A1012),MONTH($A1012),1))</f>
        <v/>
      </c>
      <c r="Q1012" s="16">
        <f>IF($H1012="","",$J1012*IFERROR(INDEX('Settings'!$L$10:$L$39,MATCH($H1012,'Settings'!$I$10:$I$39,0)),0))</f>
        <v/>
      </c>
      <c r="R1012" s="17">
        <f>IF($A1012="","",$A1012-WEEKDAY($A1012,2)+1)</f>
        <v/>
      </c>
    </row>
    <row r="1013">
      <c r="A1013" s="5" t="n">
        <v>46288</v>
      </c>
      <c r="B1013" s="4" t="inlineStr">
        <is>
          <t>Main branch</t>
        </is>
      </c>
      <c r="C1013" s="4" t="inlineStr">
        <is>
          <t>Main 2</t>
        </is>
      </c>
      <c r="D1013" s="4" t="inlineStr">
        <is>
          <t>Dr Noura Al Subaie</t>
        </is>
      </c>
      <c r="E1013" s="4" t="inlineStr">
        <is>
          <t>P-2272</t>
        </is>
      </c>
      <c r="F1013" s="4" t="inlineStr">
        <is>
          <t>New</t>
        </is>
      </c>
      <c r="G1013" s="4" t="inlineStr">
        <is>
          <t>Walk-in</t>
        </is>
      </c>
      <c r="H1013" s="4" t="inlineStr">
        <is>
          <t>Facial cleansing</t>
        </is>
      </c>
      <c r="I1013" s="9">
        <f>IF($H1013="","",IFERROR(INDEX('Settings'!$J$10:$J$39,MATCH($H1013,'Settings'!$I$10:$I$39,0)),""))</f>
        <v/>
      </c>
      <c r="J1013" s="6" t="n">
        <v>1</v>
      </c>
      <c r="K1013" s="8" t="n">
        <v>400</v>
      </c>
      <c r="L1013" s="8" t="n"/>
      <c r="M1013" s="14">
        <f>IF($A1013="","",$J1013*$K1013)</f>
        <v/>
      </c>
      <c r="N1013" s="14">
        <f>IF($A1013="","",$M1013-$L1013)</f>
        <v/>
      </c>
      <c r="O1013" s="4" t="inlineStr">
        <is>
          <t>Transfer</t>
        </is>
      </c>
      <c r="P1013" s="15">
        <f>IF($A1013="","",DATE(YEAR($A1013),MONTH($A1013),1))</f>
        <v/>
      </c>
      <c r="Q1013" s="16">
        <f>IF($H1013="","",$J1013*IFERROR(INDEX('Settings'!$L$10:$L$39,MATCH($H1013,'Settings'!$I$10:$I$39,0)),0))</f>
        <v/>
      </c>
      <c r="R1013" s="17">
        <f>IF($A1013="","",$A1013-WEEKDAY($A1013,2)+1)</f>
        <v/>
      </c>
    </row>
    <row r="1014">
      <c r="A1014" s="5" t="n">
        <v>46288</v>
      </c>
      <c r="B1014" s="4" t="inlineStr">
        <is>
          <t>Main branch</t>
        </is>
      </c>
      <c r="C1014" s="4" t="inlineStr">
        <is>
          <t>Main 3</t>
        </is>
      </c>
      <c r="D1014" s="4" t="inlineStr">
        <is>
          <t>Dr Ahmed Mansour</t>
        </is>
      </c>
      <c r="E1014" s="4" t="inlineStr">
        <is>
          <t>P-3104</t>
        </is>
      </c>
      <c r="F1014" s="4" t="inlineStr">
        <is>
          <t>Returning</t>
        </is>
      </c>
      <c r="G1014" s="4" t="inlineStr">
        <is>
          <t>Instagram</t>
        </is>
      </c>
      <c r="H1014" s="4" t="inlineStr">
        <is>
          <t>Chemical peel</t>
        </is>
      </c>
      <c r="I1014" s="9">
        <f>IF($H1014="","",IFERROR(INDEX('Settings'!$J$10:$J$39,MATCH($H1014,'Settings'!$I$10:$I$39,0)),""))</f>
        <v/>
      </c>
      <c r="J1014" s="6" t="n">
        <v>1</v>
      </c>
      <c r="K1014" s="8" t="n">
        <v>800</v>
      </c>
      <c r="L1014" s="8" t="n"/>
      <c r="M1014" s="14">
        <f>IF($A1014="","",$J1014*$K1014)</f>
        <v/>
      </c>
      <c r="N1014" s="14">
        <f>IF($A1014="","",$M1014-$L1014)</f>
        <v/>
      </c>
      <c r="O1014" s="4" t="inlineStr">
        <is>
          <t>Card</t>
        </is>
      </c>
      <c r="P1014" s="15">
        <f>IF($A1014="","",DATE(YEAR($A1014),MONTH($A1014),1))</f>
        <v/>
      </c>
      <c r="Q1014" s="16">
        <f>IF($H1014="","",$J1014*IFERROR(INDEX('Settings'!$L$10:$L$39,MATCH($H1014,'Settings'!$I$10:$I$39,0)),0))</f>
        <v/>
      </c>
      <c r="R1014" s="17">
        <f>IF($A1014="","",$A1014-WEEKDAY($A1014,2)+1)</f>
        <v/>
      </c>
    </row>
    <row r="1015">
      <c r="A1015" s="5" t="n">
        <v>46288</v>
      </c>
      <c r="B1015" s="4" t="inlineStr">
        <is>
          <t>Main branch</t>
        </is>
      </c>
      <c r="C1015" s="4" t="inlineStr">
        <is>
          <t>Main 3</t>
        </is>
      </c>
      <c r="D1015" s="4" t="inlineStr">
        <is>
          <t>Dr Ahmed Mansour</t>
        </is>
      </c>
      <c r="E1015" s="4" t="inlineStr">
        <is>
          <t>P-3435</t>
        </is>
      </c>
      <c r="F1015" s="4" t="inlineStr">
        <is>
          <t>Returning</t>
        </is>
      </c>
      <c r="G1015" s="4" t="inlineStr">
        <is>
          <t>Instagram</t>
        </is>
      </c>
      <c r="H1015" s="4" t="inlineStr">
        <is>
          <t>Follow-up visit</t>
        </is>
      </c>
      <c r="I1015" s="9">
        <f>IF($H1015="","",IFERROR(INDEX('Settings'!$J$10:$J$39,MATCH($H1015,'Settings'!$I$10:$I$39,0)),""))</f>
        <v/>
      </c>
      <c r="J1015" s="6" t="n">
        <v>1</v>
      </c>
      <c r="K1015" s="8" t="n">
        <v>150</v>
      </c>
      <c r="L1015" s="8" t="n"/>
      <c r="M1015" s="14">
        <f>IF($A1015="","",$J1015*$K1015)</f>
        <v/>
      </c>
      <c r="N1015" s="14">
        <f>IF($A1015="","",$M1015-$L1015)</f>
        <v/>
      </c>
      <c r="O1015" s="4" t="inlineStr">
        <is>
          <t>Card</t>
        </is>
      </c>
      <c r="P1015" s="15">
        <f>IF($A1015="","",DATE(YEAR($A1015),MONTH($A1015),1))</f>
        <v/>
      </c>
      <c r="Q1015" s="16">
        <f>IF($H1015="","",$J1015*IFERROR(INDEX('Settings'!$L$10:$L$39,MATCH($H1015,'Settings'!$I$10:$I$39,0)),0))</f>
        <v/>
      </c>
      <c r="R1015" s="17">
        <f>IF($A1015="","",$A1015-WEEKDAY($A1015,2)+1)</f>
        <v/>
      </c>
    </row>
    <row r="1016">
      <c r="A1016" s="5" t="n">
        <v>46288</v>
      </c>
      <c r="B1016" s="4" t="inlineStr">
        <is>
          <t>Main branch</t>
        </is>
      </c>
      <c r="C1016" s="4" t="inlineStr">
        <is>
          <t>Main 3</t>
        </is>
      </c>
      <c r="D1016" s="4" t="inlineStr">
        <is>
          <t>Dr Sara Al Harbi</t>
        </is>
      </c>
      <c r="E1016" s="4" t="inlineStr">
        <is>
          <t>P-2980</t>
        </is>
      </c>
      <c r="F1016" s="4" t="inlineStr">
        <is>
          <t>Returning</t>
        </is>
      </c>
      <c r="G1016" s="4" t="inlineStr">
        <is>
          <t>Walk-in</t>
        </is>
      </c>
      <c r="H1016" s="4" t="inlineStr">
        <is>
          <t>Follow-up visit</t>
        </is>
      </c>
      <c r="I1016" s="9">
        <f>IF($H1016="","",IFERROR(INDEX('Settings'!$J$10:$J$39,MATCH($H1016,'Settings'!$I$10:$I$39,0)),""))</f>
        <v/>
      </c>
      <c r="J1016" s="6" t="n">
        <v>1</v>
      </c>
      <c r="K1016" s="8" t="n">
        <v>150</v>
      </c>
      <c r="L1016" s="8" t="n"/>
      <c r="M1016" s="14">
        <f>IF($A1016="","",$J1016*$K1016)</f>
        <v/>
      </c>
      <c r="N1016" s="14">
        <f>IF($A1016="","",$M1016-$L1016)</f>
        <v/>
      </c>
      <c r="O1016" s="4" t="inlineStr">
        <is>
          <t>Cash</t>
        </is>
      </c>
      <c r="P1016" s="15">
        <f>IF($A1016="","",DATE(YEAR($A1016),MONTH($A1016),1))</f>
        <v/>
      </c>
      <c r="Q1016" s="16">
        <f>IF($H1016="","",$J1016*IFERROR(INDEX('Settings'!$L$10:$L$39,MATCH($H1016,'Settings'!$I$10:$I$39,0)),0))</f>
        <v/>
      </c>
      <c r="R1016" s="17">
        <f>IF($A1016="","",$A1016-WEEKDAY($A1016,2)+1)</f>
        <v/>
      </c>
    </row>
    <row r="1017">
      <c r="A1017" s="5" t="n">
        <v>46288</v>
      </c>
      <c r="B1017" s="4" t="inlineStr">
        <is>
          <t>Main branch</t>
        </is>
      </c>
      <c r="C1017" s="4" t="inlineStr">
        <is>
          <t>Main 4</t>
        </is>
      </c>
      <c r="D1017" s="4" t="inlineStr">
        <is>
          <t>Dr Noura Al Subaie</t>
        </is>
      </c>
      <c r="E1017" s="4" t="inlineStr">
        <is>
          <t>P-2415</t>
        </is>
      </c>
      <c r="F1017" s="4" t="inlineStr">
        <is>
          <t>Returning</t>
        </is>
      </c>
      <c r="G1017" s="4" t="inlineStr">
        <is>
          <t>Instagram</t>
        </is>
      </c>
      <c r="H1017" s="4" t="inlineStr">
        <is>
          <t>Laser session, face</t>
        </is>
      </c>
      <c r="I1017" s="9">
        <f>IF($H1017="","",IFERROR(INDEX('Settings'!$J$10:$J$39,MATCH($H1017,'Settings'!$I$10:$I$39,0)),""))</f>
        <v/>
      </c>
      <c r="J1017" s="6" t="n">
        <v>1</v>
      </c>
      <c r="K1017" s="8" t="n">
        <v>600</v>
      </c>
      <c r="L1017" s="8" t="n">
        <v>120</v>
      </c>
      <c r="M1017" s="14">
        <f>IF($A1017="","",$J1017*$K1017)</f>
        <v/>
      </c>
      <c r="N1017" s="14">
        <f>IF($A1017="","",$M1017-$L1017)</f>
        <v/>
      </c>
      <c r="O1017" s="4" t="inlineStr">
        <is>
          <t>Insurance</t>
        </is>
      </c>
      <c r="P1017" s="15">
        <f>IF($A1017="","",DATE(YEAR($A1017),MONTH($A1017),1))</f>
        <v/>
      </c>
      <c r="Q1017" s="16">
        <f>IF($H1017="","",$J1017*IFERROR(INDEX('Settings'!$L$10:$L$39,MATCH($H1017,'Settings'!$I$10:$I$39,0)),0))</f>
        <v/>
      </c>
      <c r="R1017" s="17">
        <f>IF($A1017="","",$A1017-WEEKDAY($A1017,2)+1)</f>
        <v/>
      </c>
    </row>
    <row r="1018">
      <c r="A1018" s="5" t="n">
        <v>46288</v>
      </c>
      <c r="B1018" s="4" t="inlineStr">
        <is>
          <t>Main branch</t>
        </is>
      </c>
      <c r="C1018" s="4" t="inlineStr">
        <is>
          <t>Main 4</t>
        </is>
      </c>
      <c r="D1018" s="4" t="inlineStr">
        <is>
          <t>Dr Noura Al Subaie</t>
        </is>
      </c>
      <c r="E1018" s="4" t="inlineStr">
        <is>
          <t>P-3288</t>
        </is>
      </c>
      <c r="F1018" s="4" t="inlineStr">
        <is>
          <t>Returning</t>
        </is>
      </c>
      <c r="G1018" s="4" t="inlineStr">
        <is>
          <t>Instagram</t>
        </is>
      </c>
      <c r="H1018" s="4" t="inlineStr">
        <is>
          <t>Laser session, body</t>
        </is>
      </c>
      <c r="I1018" s="9">
        <f>IF($H1018="","",IFERROR(INDEX('Settings'!$J$10:$J$39,MATCH($H1018,'Settings'!$I$10:$I$39,0)),""))</f>
        <v/>
      </c>
      <c r="J1018" s="6" t="n">
        <v>1</v>
      </c>
      <c r="K1018" s="8" t="n">
        <v>1200</v>
      </c>
      <c r="L1018" s="8" t="n"/>
      <c r="M1018" s="14">
        <f>IF($A1018="","",$J1018*$K1018)</f>
        <v/>
      </c>
      <c r="N1018" s="14">
        <f>IF($A1018="","",$M1018-$L1018)</f>
        <v/>
      </c>
      <c r="O1018" s="4" t="inlineStr">
        <is>
          <t>Card</t>
        </is>
      </c>
      <c r="P1018" s="15">
        <f>IF($A1018="","",DATE(YEAR($A1018),MONTH($A1018),1))</f>
        <v/>
      </c>
      <c r="Q1018" s="16">
        <f>IF($H1018="","",$J1018*IFERROR(INDEX('Settings'!$L$10:$L$39,MATCH($H1018,'Settings'!$I$10:$I$39,0)),0))</f>
        <v/>
      </c>
      <c r="R1018" s="17">
        <f>IF($A1018="","",$A1018-WEEKDAY($A1018,2)+1)</f>
        <v/>
      </c>
    </row>
    <row r="1019">
      <c r="A1019" s="5" t="n">
        <v>46288</v>
      </c>
      <c r="B1019" s="4" t="inlineStr">
        <is>
          <t>Main branch</t>
        </is>
      </c>
      <c r="C1019" s="4" t="inlineStr">
        <is>
          <t>Main 4</t>
        </is>
      </c>
      <c r="D1019" s="4" t="inlineStr">
        <is>
          <t>Dr Noura Al Subaie</t>
        </is>
      </c>
      <c r="E1019" s="4" t="inlineStr">
        <is>
          <t>P-2121</t>
        </is>
      </c>
      <c r="F1019" s="4" t="inlineStr">
        <is>
          <t>New</t>
        </is>
      </c>
      <c r="G1019" s="4" t="inlineStr">
        <is>
          <t>Instagram</t>
        </is>
      </c>
      <c r="H1019" s="4" t="inlineStr">
        <is>
          <t>Botulinum toxin</t>
        </is>
      </c>
      <c r="I1019" s="9">
        <f>IF($H1019="","",IFERROR(INDEX('Settings'!$J$10:$J$39,MATCH($H1019,'Settings'!$I$10:$I$39,0)),""))</f>
        <v/>
      </c>
      <c r="J1019" s="6" t="n">
        <v>1</v>
      </c>
      <c r="K1019" s="8" t="n">
        <v>1500</v>
      </c>
      <c r="L1019" s="8" t="n"/>
      <c r="M1019" s="14">
        <f>IF($A1019="","",$J1019*$K1019)</f>
        <v/>
      </c>
      <c r="N1019" s="14">
        <f>IF($A1019="","",$M1019-$L1019)</f>
        <v/>
      </c>
      <c r="O1019" s="4" t="inlineStr">
        <is>
          <t>Payment link</t>
        </is>
      </c>
      <c r="P1019" s="15">
        <f>IF($A1019="","",DATE(YEAR($A1019),MONTH($A1019),1))</f>
        <v/>
      </c>
      <c r="Q1019" s="16">
        <f>IF($H1019="","",$J1019*IFERROR(INDEX('Settings'!$L$10:$L$39,MATCH($H1019,'Settings'!$I$10:$I$39,0)),0))</f>
        <v/>
      </c>
      <c r="R1019" s="17">
        <f>IF($A1019="","",$A1019-WEEKDAY($A1019,2)+1)</f>
        <v/>
      </c>
    </row>
    <row r="1020">
      <c r="A1020" s="5" t="n">
        <v>46288</v>
      </c>
      <c r="B1020" s="4" t="inlineStr">
        <is>
          <t>North branch</t>
        </is>
      </c>
      <c r="C1020" s="4" t="inlineStr">
        <is>
          <t>North 1</t>
        </is>
      </c>
      <c r="D1020" s="4" t="inlineStr">
        <is>
          <t>Dr Khaled Youssef</t>
        </is>
      </c>
      <c r="E1020" s="4" t="inlineStr">
        <is>
          <t>P-3053</t>
        </is>
      </c>
      <c r="F1020" s="4" t="inlineStr">
        <is>
          <t>Returning</t>
        </is>
      </c>
      <c r="G1020" s="4" t="inlineStr">
        <is>
          <t>Walk-in</t>
        </is>
      </c>
      <c r="H1020" s="4" t="inlineStr">
        <is>
          <t>Facial cleansing</t>
        </is>
      </c>
      <c r="I1020" s="9">
        <f>IF($H1020="","",IFERROR(INDEX('Settings'!$J$10:$J$39,MATCH($H1020,'Settings'!$I$10:$I$39,0)),""))</f>
        <v/>
      </c>
      <c r="J1020" s="6" t="n">
        <v>1</v>
      </c>
      <c r="K1020" s="8" t="n">
        <v>400</v>
      </c>
      <c r="L1020" s="8" t="n">
        <v>80</v>
      </c>
      <c r="M1020" s="14">
        <f>IF($A1020="","",$J1020*$K1020)</f>
        <v/>
      </c>
      <c r="N1020" s="14">
        <f>IF($A1020="","",$M1020-$L1020)</f>
        <v/>
      </c>
      <c r="O1020" s="4" t="inlineStr">
        <is>
          <t>Card</t>
        </is>
      </c>
      <c r="P1020" s="15">
        <f>IF($A1020="","",DATE(YEAR($A1020),MONTH($A1020),1))</f>
        <v/>
      </c>
      <c r="Q1020" s="16">
        <f>IF($H1020="","",$J1020*IFERROR(INDEX('Settings'!$L$10:$L$39,MATCH($H1020,'Settings'!$I$10:$I$39,0)),0))</f>
        <v/>
      </c>
      <c r="R1020" s="17">
        <f>IF($A1020="","",$A1020-WEEKDAY($A1020,2)+1)</f>
        <v/>
      </c>
    </row>
    <row r="1021">
      <c r="A1021" s="5" t="n">
        <v>46288</v>
      </c>
      <c r="B1021" s="4" t="inlineStr">
        <is>
          <t>North branch</t>
        </is>
      </c>
      <c r="C1021" s="4" t="inlineStr">
        <is>
          <t>North 1</t>
        </is>
      </c>
      <c r="D1021" s="4" t="inlineStr">
        <is>
          <t>Dr Mohamed Adel</t>
        </is>
      </c>
      <c r="E1021" s="4" t="inlineStr">
        <is>
          <t>P-3178</t>
        </is>
      </c>
      <c r="F1021" s="4" t="inlineStr">
        <is>
          <t>Returning</t>
        </is>
      </c>
      <c r="G1021" s="4" t="inlineStr">
        <is>
          <t>WhatsApp</t>
        </is>
      </c>
      <c r="H1021" s="4" t="inlineStr">
        <is>
          <t>Facial cleansing</t>
        </is>
      </c>
      <c r="I1021" s="9">
        <f>IF($H1021="","",IFERROR(INDEX('Settings'!$J$10:$J$39,MATCH($H1021,'Settings'!$I$10:$I$39,0)),""))</f>
        <v/>
      </c>
      <c r="J1021" s="6" t="n">
        <v>1</v>
      </c>
      <c r="K1021" s="8" t="n">
        <v>400</v>
      </c>
      <c r="L1021" s="8" t="n">
        <v>20</v>
      </c>
      <c r="M1021" s="14">
        <f>IF($A1021="","",$J1021*$K1021)</f>
        <v/>
      </c>
      <c r="N1021" s="14">
        <f>IF($A1021="","",$M1021-$L1021)</f>
        <v/>
      </c>
      <c r="O1021" s="4" t="inlineStr">
        <is>
          <t>Transfer</t>
        </is>
      </c>
      <c r="P1021" s="15">
        <f>IF($A1021="","",DATE(YEAR($A1021),MONTH($A1021),1))</f>
        <v/>
      </c>
      <c r="Q1021" s="16">
        <f>IF($H1021="","",$J1021*IFERROR(INDEX('Settings'!$L$10:$L$39,MATCH($H1021,'Settings'!$I$10:$I$39,0)),0))</f>
        <v/>
      </c>
      <c r="R1021" s="17">
        <f>IF($A1021="","",$A1021-WEEKDAY($A1021,2)+1)</f>
        <v/>
      </c>
    </row>
    <row r="1022">
      <c r="A1022" s="5" t="n">
        <v>46288</v>
      </c>
      <c r="B1022" s="4" t="inlineStr">
        <is>
          <t>North branch</t>
        </is>
      </c>
      <c r="C1022" s="4" t="inlineStr">
        <is>
          <t>North 1</t>
        </is>
      </c>
      <c r="D1022" s="4" t="inlineStr">
        <is>
          <t>Dr Khaled Youssef</t>
        </is>
      </c>
      <c r="E1022" s="4" t="inlineStr">
        <is>
          <t>P-2575</t>
        </is>
      </c>
      <c r="F1022" s="4" t="inlineStr">
        <is>
          <t>Returning</t>
        </is>
      </c>
      <c r="G1022" s="4" t="inlineStr">
        <is>
          <t>Referral</t>
        </is>
      </c>
      <c r="H1022" s="4" t="inlineStr">
        <is>
          <t>Follow-up visit</t>
        </is>
      </c>
      <c r="I1022" s="9">
        <f>IF($H1022="","",IFERROR(INDEX('Settings'!$J$10:$J$39,MATCH($H1022,'Settings'!$I$10:$I$39,0)),""))</f>
        <v/>
      </c>
      <c r="J1022" s="6" t="n">
        <v>1</v>
      </c>
      <c r="K1022" s="8" t="n">
        <v>150</v>
      </c>
      <c r="L1022" s="8" t="n"/>
      <c r="M1022" s="14">
        <f>IF($A1022="","",$J1022*$K1022)</f>
        <v/>
      </c>
      <c r="N1022" s="14">
        <f>IF($A1022="","",$M1022-$L1022)</f>
        <v/>
      </c>
      <c r="O1022" s="4" t="inlineStr">
        <is>
          <t>Card</t>
        </is>
      </c>
      <c r="P1022" s="15">
        <f>IF($A1022="","",DATE(YEAR($A1022),MONTH($A1022),1))</f>
        <v/>
      </c>
      <c r="Q1022" s="16">
        <f>IF($H1022="","",$J1022*IFERROR(INDEX('Settings'!$L$10:$L$39,MATCH($H1022,'Settings'!$I$10:$I$39,0)),0))</f>
        <v/>
      </c>
      <c r="R1022" s="17">
        <f>IF($A1022="","",$A1022-WEEKDAY($A1022,2)+1)</f>
        <v/>
      </c>
    </row>
    <row r="1023">
      <c r="A1023" s="5" t="n">
        <v>46288</v>
      </c>
      <c r="B1023" s="4" t="inlineStr">
        <is>
          <t>North branch</t>
        </is>
      </c>
      <c r="C1023" s="4" t="inlineStr">
        <is>
          <t>North 1</t>
        </is>
      </c>
      <c r="D1023" s="4" t="inlineStr">
        <is>
          <t>Dr Khaled Youssef</t>
        </is>
      </c>
      <c r="E1023" s="4" t="inlineStr">
        <is>
          <t>P-2759</t>
        </is>
      </c>
      <c r="F1023" s="4" t="inlineStr">
        <is>
          <t>Returning</t>
        </is>
      </c>
      <c r="G1023" s="4" t="inlineStr">
        <is>
          <t>Google</t>
        </is>
      </c>
      <c r="H1023" s="4" t="inlineStr">
        <is>
          <t>Facial cleansing</t>
        </is>
      </c>
      <c r="I1023" s="9">
        <f>IF($H1023="","",IFERROR(INDEX('Settings'!$J$10:$J$39,MATCH($H1023,'Settings'!$I$10:$I$39,0)),""))</f>
        <v/>
      </c>
      <c r="J1023" s="6" t="n">
        <v>1</v>
      </c>
      <c r="K1023" s="8" t="n">
        <v>400</v>
      </c>
      <c r="L1023" s="8" t="n">
        <v>80</v>
      </c>
      <c r="M1023" s="14">
        <f>IF($A1023="","",$J1023*$K1023)</f>
        <v/>
      </c>
      <c r="N1023" s="14">
        <f>IF($A1023="","",$M1023-$L1023)</f>
        <v/>
      </c>
      <c r="O1023" s="4" t="inlineStr">
        <is>
          <t>Insurance</t>
        </is>
      </c>
      <c r="P1023" s="15">
        <f>IF($A1023="","",DATE(YEAR($A1023),MONTH($A1023),1))</f>
        <v/>
      </c>
      <c r="Q1023" s="16">
        <f>IF($H1023="","",$J1023*IFERROR(INDEX('Settings'!$L$10:$L$39,MATCH($H1023,'Settings'!$I$10:$I$39,0)),0))</f>
        <v/>
      </c>
      <c r="R1023" s="17">
        <f>IF($A1023="","",$A1023-WEEKDAY($A1023,2)+1)</f>
        <v/>
      </c>
    </row>
    <row r="1024">
      <c r="A1024" s="5" t="n">
        <v>46288</v>
      </c>
      <c r="B1024" s="4" t="inlineStr">
        <is>
          <t>North branch</t>
        </is>
      </c>
      <c r="C1024" s="4" t="inlineStr">
        <is>
          <t>North 1</t>
        </is>
      </c>
      <c r="D1024" s="4" t="inlineStr">
        <is>
          <t>Dr Mohamed Adel</t>
        </is>
      </c>
      <c r="E1024" s="4" t="inlineStr">
        <is>
          <t>P-3109</t>
        </is>
      </c>
      <c r="F1024" s="4" t="inlineStr">
        <is>
          <t>Returning</t>
        </is>
      </c>
      <c r="G1024" s="4" t="inlineStr">
        <is>
          <t>Walk-in</t>
        </is>
      </c>
      <c r="H1024" s="4" t="inlineStr">
        <is>
          <t>Specialist consultation</t>
        </is>
      </c>
      <c r="I1024" s="9">
        <f>IF($H1024="","",IFERROR(INDEX('Settings'!$J$10:$J$39,MATCH($H1024,'Settings'!$I$10:$I$39,0)),""))</f>
        <v/>
      </c>
      <c r="J1024" s="6" t="n">
        <v>1</v>
      </c>
      <c r="K1024" s="8" t="n">
        <v>350</v>
      </c>
      <c r="L1024" s="8" t="n"/>
      <c r="M1024" s="14">
        <f>IF($A1024="","",$J1024*$K1024)</f>
        <v/>
      </c>
      <c r="N1024" s="14">
        <f>IF($A1024="","",$M1024-$L1024)</f>
        <v/>
      </c>
      <c r="O1024" s="4" t="inlineStr">
        <is>
          <t>Insurance</t>
        </is>
      </c>
      <c r="P1024" s="15">
        <f>IF($A1024="","",DATE(YEAR($A1024),MONTH($A1024),1))</f>
        <v/>
      </c>
      <c r="Q1024" s="16">
        <f>IF($H1024="","",$J1024*IFERROR(INDEX('Settings'!$L$10:$L$39,MATCH($H1024,'Settings'!$I$10:$I$39,0)),0))</f>
        <v/>
      </c>
      <c r="R1024" s="17">
        <f>IF($A1024="","",$A1024-WEEKDAY($A1024,2)+1)</f>
        <v/>
      </c>
    </row>
    <row r="1025">
      <c r="A1025" s="5" t="n">
        <v>46288</v>
      </c>
      <c r="B1025" s="4" t="inlineStr">
        <is>
          <t>North branch</t>
        </is>
      </c>
      <c r="C1025" s="4" t="inlineStr">
        <is>
          <t>North 2</t>
        </is>
      </c>
      <c r="D1025" s="4" t="inlineStr">
        <is>
          <t>Dr Layla Al Qahtani</t>
        </is>
      </c>
      <c r="E1025" s="4" t="inlineStr">
        <is>
          <t>P-2467</t>
        </is>
      </c>
      <c r="F1025" s="4" t="inlineStr">
        <is>
          <t>Returning</t>
        </is>
      </c>
      <c r="G1025" s="4" t="inlineStr">
        <is>
          <t>Google</t>
        </is>
      </c>
      <c r="H1025" s="4" t="inlineStr">
        <is>
          <t>Sunscreen cream</t>
        </is>
      </c>
      <c r="I1025" s="9">
        <f>IF($H1025="","",IFERROR(INDEX('Settings'!$J$10:$J$39,MATCH($H1025,'Settings'!$I$10:$I$39,0)),""))</f>
        <v/>
      </c>
      <c r="J1025" s="6" t="n">
        <v>2</v>
      </c>
      <c r="K1025" s="8" t="n">
        <v>120</v>
      </c>
      <c r="L1025" s="8" t="n"/>
      <c r="M1025" s="14">
        <f>IF($A1025="","",$J1025*$K1025)</f>
        <v/>
      </c>
      <c r="N1025" s="14">
        <f>IF($A1025="","",$M1025-$L1025)</f>
        <v/>
      </c>
      <c r="O1025" s="4" t="inlineStr">
        <is>
          <t>Insurance</t>
        </is>
      </c>
      <c r="P1025" s="15">
        <f>IF($A1025="","",DATE(YEAR($A1025),MONTH($A1025),1))</f>
        <v/>
      </c>
      <c r="Q1025" s="16">
        <f>IF($H1025="","",$J1025*IFERROR(INDEX('Settings'!$L$10:$L$39,MATCH($H1025,'Settings'!$I$10:$I$39,0)),0))</f>
        <v/>
      </c>
      <c r="R1025" s="17">
        <f>IF($A1025="","",$A1025-WEEKDAY($A1025,2)+1)</f>
        <v/>
      </c>
    </row>
    <row r="1026">
      <c r="A1026" s="5" t="n">
        <v>46288</v>
      </c>
      <c r="B1026" s="4" t="inlineStr">
        <is>
          <t>North branch</t>
        </is>
      </c>
      <c r="C1026" s="4" t="inlineStr">
        <is>
          <t>North 2</t>
        </is>
      </c>
      <c r="D1026" s="4" t="inlineStr">
        <is>
          <t>Dr Khaled Youssef</t>
        </is>
      </c>
      <c r="E1026" s="4" t="inlineStr">
        <is>
          <t>P-2690</t>
        </is>
      </c>
      <c r="F1026" s="4" t="inlineStr">
        <is>
          <t>Returning</t>
        </is>
      </c>
      <c r="G1026" s="4" t="inlineStr">
        <is>
          <t>Google</t>
        </is>
      </c>
      <c r="H1026" s="4" t="inlineStr">
        <is>
          <t>Physiotherapy session</t>
        </is>
      </c>
      <c r="I1026" s="9">
        <f>IF($H1026="","",IFERROR(INDEX('Settings'!$J$10:$J$39,MATCH($H1026,'Settings'!$I$10:$I$39,0)),""))</f>
        <v/>
      </c>
      <c r="J1026" s="6" t="n">
        <v>1</v>
      </c>
      <c r="K1026" s="8" t="n">
        <v>300</v>
      </c>
      <c r="L1026" s="8" t="n"/>
      <c r="M1026" s="14">
        <f>IF($A1026="","",$J1026*$K1026)</f>
        <v/>
      </c>
      <c r="N1026" s="14">
        <f>IF($A1026="","",$M1026-$L1026)</f>
        <v/>
      </c>
      <c r="O1026" s="4" t="inlineStr">
        <is>
          <t>Payment link</t>
        </is>
      </c>
      <c r="P1026" s="15">
        <f>IF($A1026="","",DATE(YEAR($A1026),MONTH($A1026),1))</f>
        <v/>
      </c>
      <c r="Q1026" s="16">
        <f>IF($H1026="","",$J1026*IFERROR(INDEX('Settings'!$L$10:$L$39,MATCH($H1026,'Settings'!$I$10:$I$39,0)),0))</f>
        <v/>
      </c>
      <c r="R1026" s="17">
        <f>IF($A1026="","",$A1026-WEEKDAY($A1026,2)+1)</f>
        <v/>
      </c>
    </row>
    <row r="1027">
      <c r="A1027" s="5" t="n">
        <v>46288</v>
      </c>
      <c r="B1027" s="4" t="inlineStr">
        <is>
          <t>North branch</t>
        </is>
      </c>
      <c r="C1027" s="4" t="inlineStr">
        <is>
          <t>North 2</t>
        </is>
      </c>
      <c r="D1027" s="4" t="inlineStr">
        <is>
          <t>Dr Mohamed Adel</t>
        </is>
      </c>
      <c r="E1027" s="4" t="inlineStr">
        <is>
          <t>P-3404</t>
        </is>
      </c>
      <c r="F1027" s="4" t="inlineStr">
        <is>
          <t>New</t>
        </is>
      </c>
      <c r="G1027" s="4" t="inlineStr">
        <is>
          <t>Instagram</t>
        </is>
      </c>
      <c r="H1027" s="4" t="inlineStr">
        <is>
          <t>Laser session, face</t>
        </is>
      </c>
      <c r="I1027" s="9">
        <f>IF($H1027="","",IFERROR(INDEX('Settings'!$J$10:$J$39,MATCH($H1027,'Settings'!$I$10:$I$39,0)),""))</f>
        <v/>
      </c>
      <c r="J1027" s="6" t="n">
        <v>1</v>
      </c>
      <c r="K1027" s="8" t="n">
        <v>600</v>
      </c>
      <c r="L1027" s="8" t="n">
        <v>120</v>
      </c>
      <c r="M1027" s="14">
        <f>IF($A1027="","",$J1027*$K1027)</f>
        <v/>
      </c>
      <c r="N1027" s="14">
        <f>IF($A1027="","",$M1027-$L1027)</f>
        <v/>
      </c>
      <c r="O1027" s="4" t="inlineStr">
        <is>
          <t>Card</t>
        </is>
      </c>
      <c r="P1027" s="15">
        <f>IF($A1027="","",DATE(YEAR($A1027),MONTH($A1027),1))</f>
        <v/>
      </c>
      <c r="Q1027" s="16">
        <f>IF($H1027="","",$J1027*IFERROR(INDEX('Settings'!$L$10:$L$39,MATCH($H1027,'Settings'!$I$10:$I$39,0)),0))</f>
        <v/>
      </c>
      <c r="R1027" s="17">
        <f>IF($A1027="","",$A1027-WEEKDAY($A1027,2)+1)</f>
        <v/>
      </c>
    </row>
    <row r="1028">
      <c r="A1028" s="5" t="n">
        <v>46288</v>
      </c>
      <c r="B1028" s="4" t="inlineStr">
        <is>
          <t>North branch</t>
        </is>
      </c>
      <c r="C1028" s="4" t="inlineStr">
        <is>
          <t>North 2</t>
        </is>
      </c>
      <c r="D1028" s="4" t="inlineStr">
        <is>
          <t>Dr Mohamed Adel</t>
        </is>
      </c>
      <c r="E1028" s="4" t="inlineStr">
        <is>
          <t>P-2163</t>
        </is>
      </c>
      <c r="F1028" s="4" t="inlineStr">
        <is>
          <t>Returning</t>
        </is>
      </c>
      <c r="G1028" s="4" t="inlineStr">
        <is>
          <t>Google</t>
        </is>
      </c>
      <c r="H1028" s="4" t="inlineStr">
        <is>
          <t>Follow-up visit</t>
        </is>
      </c>
      <c r="I1028" s="9">
        <f>IF($H1028="","",IFERROR(INDEX('Settings'!$J$10:$J$39,MATCH($H1028,'Settings'!$I$10:$I$39,0)),""))</f>
        <v/>
      </c>
      <c r="J1028" s="6" t="n">
        <v>1</v>
      </c>
      <c r="K1028" s="8" t="n">
        <v>150</v>
      </c>
      <c r="L1028" s="8" t="n"/>
      <c r="M1028" s="14">
        <f>IF($A1028="","",$J1028*$K1028)</f>
        <v/>
      </c>
      <c r="N1028" s="14">
        <f>IF($A1028="","",$M1028-$L1028)</f>
        <v/>
      </c>
      <c r="O1028" s="4" t="inlineStr">
        <is>
          <t>Card</t>
        </is>
      </c>
      <c r="P1028" s="15">
        <f>IF($A1028="","",DATE(YEAR($A1028),MONTH($A1028),1))</f>
        <v/>
      </c>
      <c r="Q1028" s="16">
        <f>IF($H1028="","",$J1028*IFERROR(INDEX('Settings'!$L$10:$L$39,MATCH($H1028,'Settings'!$I$10:$I$39,0)),0))</f>
        <v/>
      </c>
      <c r="R1028" s="17">
        <f>IF($A1028="","",$A1028-WEEKDAY($A1028,2)+1)</f>
        <v/>
      </c>
    </row>
    <row r="1029">
      <c r="A1029" s="5" t="n">
        <v>46289</v>
      </c>
      <c r="B1029" s="4" t="inlineStr">
        <is>
          <t>Main branch</t>
        </is>
      </c>
      <c r="C1029" s="4" t="inlineStr">
        <is>
          <t>Main 2</t>
        </is>
      </c>
      <c r="D1029" s="4" t="inlineStr">
        <is>
          <t>Dr Sara Al Harbi</t>
        </is>
      </c>
      <c r="E1029" s="4" t="inlineStr">
        <is>
          <t>P-2333</t>
        </is>
      </c>
      <c r="F1029" s="4" t="inlineStr">
        <is>
          <t>Returning</t>
        </is>
      </c>
      <c r="G1029" s="4" t="inlineStr">
        <is>
          <t>Instagram</t>
        </is>
      </c>
      <c r="H1029" s="4" t="inlineStr">
        <is>
          <t>Follow-up visit</t>
        </is>
      </c>
      <c r="I1029" s="9">
        <f>IF($H1029="","",IFERROR(INDEX('Settings'!$J$10:$J$39,MATCH($H1029,'Settings'!$I$10:$I$39,0)),""))</f>
        <v/>
      </c>
      <c r="J1029" s="6" t="n">
        <v>1</v>
      </c>
      <c r="K1029" s="8" t="n">
        <v>150</v>
      </c>
      <c r="L1029" s="8" t="n"/>
      <c r="M1029" s="14">
        <f>IF($A1029="","",$J1029*$K1029)</f>
        <v/>
      </c>
      <c r="N1029" s="14">
        <f>IF($A1029="","",$M1029-$L1029)</f>
        <v/>
      </c>
      <c r="O1029" s="4" t="inlineStr">
        <is>
          <t>Card</t>
        </is>
      </c>
      <c r="P1029" s="15">
        <f>IF($A1029="","",DATE(YEAR($A1029),MONTH($A1029),1))</f>
        <v/>
      </c>
      <c r="Q1029" s="16">
        <f>IF($H1029="","",$J1029*IFERROR(INDEX('Settings'!$L$10:$L$39,MATCH($H1029,'Settings'!$I$10:$I$39,0)),0))</f>
        <v/>
      </c>
      <c r="R1029" s="17">
        <f>IF($A1029="","",$A1029-WEEKDAY($A1029,2)+1)</f>
        <v/>
      </c>
    </row>
    <row r="1030">
      <c r="A1030" s="5" t="n">
        <v>46289</v>
      </c>
      <c r="B1030" s="4" t="inlineStr">
        <is>
          <t>Main branch</t>
        </is>
      </c>
      <c r="C1030" s="4" t="inlineStr">
        <is>
          <t>Main 2</t>
        </is>
      </c>
      <c r="D1030" s="4" t="inlineStr">
        <is>
          <t>Dr Ahmed Mansour</t>
        </is>
      </c>
      <c r="E1030" s="4" t="inlineStr">
        <is>
          <t>P-2769</t>
        </is>
      </c>
      <c r="F1030" s="4" t="inlineStr">
        <is>
          <t>Returning</t>
        </is>
      </c>
      <c r="G1030" s="4" t="inlineStr">
        <is>
          <t>Referral</t>
        </is>
      </c>
      <c r="H1030" s="4" t="inlineStr">
        <is>
          <t>Laser session, face</t>
        </is>
      </c>
      <c r="I1030" s="9">
        <f>IF($H1030="","",IFERROR(INDEX('Settings'!$J$10:$J$39,MATCH($H1030,'Settings'!$I$10:$I$39,0)),""))</f>
        <v/>
      </c>
      <c r="J1030" s="6" t="n">
        <v>1</v>
      </c>
      <c r="K1030" s="8" t="n">
        <v>600</v>
      </c>
      <c r="L1030" s="8" t="n">
        <v>120</v>
      </c>
      <c r="M1030" s="14">
        <f>IF($A1030="","",$J1030*$K1030)</f>
        <v/>
      </c>
      <c r="N1030" s="14">
        <f>IF($A1030="","",$M1030-$L1030)</f>
        <v/>
      </c>
      <c r="O1030" s="4" t="inlineStr">
        <is>
          <t>Cash</t>
        </is>
      </c>
      <c r="P1030" s="15">
        <f>IF($A1030="","",DATE(YEAR($A1030),MONTH($A1030),1))</f>
        <v/>
      </c>
      <c r="Q1030" s="16">
        <f>IF($H1030="","",$J1030*IFERROR(INDEX('Settings'!$L$10:$L$39,MATCH($H1030,'Settings'!$I$10:$I$39,0)),0))</f>
        <v/>
      </c>
      <c r="R1030" s="17">
        <f>IF($A1030="","",$A1030-WEEKDAY($A1030,2)+1)</f>
        <v/>
      </c>
    </row>
    <row r="1031">
      <c r="A1031" s="5" t="n">
        <v>46289</v>
      </c>
      <c r="B1031" s="4" t="inlineStr">
        <is>
          <t>Main branch</t>
        </is>
      </c>
      <c r="C1031" s="4" t="inlineStr">
        <is>
          <t>Main 3</t>
        </is>
      </c>
      <c r="D1031" s="4" t="inlineStr">
        <is>
          <t>Dr Sara Al Harbi</t>
        </is>
      </c>
      <c r="E1031" s="4" t="inlineStr">
        <is>
          <t>P-3307</t>
        </is>
      </c>
      <c r="F1031" s="4" t="inlineStr">
        <is>
          <t>Returning</t>
        </is>
      </c>
      <c r="G1031" s="4" t="inlineStr">
        <is>
          <t>WhatsApp</t>
        </is>
      </c>
      <c r="H1031" s="4" t="inlineStr">
        <is>
          <t>Specialist consultation</t>
        </is>
      </c>
      <c r="I1031" s="9">
        <f>IF($H1031="","",IFERROR(INDEX('Settings'!$J$10:$J$39,MATCH($H1031,'Settings'!$I$10:$I$39,0)),""))</f>
        <v/>
      </c>
      <c r="J1031" s="6" t="n">
        <v>1</v>
      </c>
      <c r="K1031" s="8" t="n">
        <v>350</v>
      </c>
      <c r="L1031" s="8" t="n"/>
      <c r="M1031" s="14">
        <f>IF($A1031="","",$J1031*$K1031)</f>
        <v/>
      </c>
      <c r="N1031" s="14">
        <f>IF($A1031="","",$M1031-$L1031)</f>
        <v/>
      </c>
      <c r="O1031" s="4" t="inlineStr">
        <is>
          <t>Card</t>
        </is>
      </c>
      <c r="P1031" s="15">
        <f>IF($A1031="","",DATE(YEAR($A1031),MONTH($A1031),1))</f>
        <v/>
      </c>
      <c r="Q1031" s="16">
        <f>IF($H1031="","",$J1031*IFERROR(INDEX('Settings'!$L$10:$L$39,MATCH($H1031,'Settings'!$I$10:$I$39,0)),0))</f>
        <v/>
      </c>
      <c r="R1031" s="17">
        <f>IF($A1031="","",$A1031-WEEKDAY($A1031,2)+1)</f>
        <v/>
      </c>
    </row>
    <row r="1032">
      <c r="A1032" s="5" t="n">
        <v>46289</v>
      </c>
      <c r="B1032" s="4" t="inlineStr">
        <is>
          <t>Main branch</t>
        </is>
      </c>
      <c r="C1032" s="4" t="inlineStr">
        <is>
          <t>Main 3</t>
        </is>
      </c>
      <c r="D1032" s="4" t="inlineStr">
        <is>
          <t>Dr Sara Al Harbi</t>
        </is>
      </c>
      <c r="E1032" s="4" t="inlineStr">
        <is>
          <t>P-2848</t>
        </is>
      </c>
      <c r="F1032" s="4" t="inlineStr">
        <is>
          <t>Returning</t>
        </is>
      </c>
      <c r="G1032" s="4" t="inlineStr">
        <is>
          <t>Walk-in</t>
        </is>
      </c>
      <c r="H1032" s="4" t="inlineStr">
        <is>
          <t>Facial cleansing</t>
        </is>
      </c>
      <c r="I1032" s="9">
        <f>IF($H1032="","",IFERROR(INDEX('Settings'!$J$10:$J$39,MATCH($H1032,'Settings'!$I$10:$I$39,0)),""))</f>
        <v/>
      </c>
      <c r="J1032" s="6" t="n">
        <v>1</v>
      </c>
      <c r="K1032" s="8" t="n">
        <v>400</v>
      </c>
      <c r="L1032" s="8" t="n"/>
      <c r="M1032" s="14">
        <f>IF($A1032="","",$J1032*$K1032)</f>
        <v/>
      </c>
      <c r="N1032" s="14">
        <f>IF($A1032="","",$M1032-$L1032)</f>
        <v/>
      </c>
      <c r="O1032" s="4" t="inlineStr">
        <is>
          <t>Card</t>
        </is>
      </c>
      <c r="P1032" s="15">
        <f>IF($A1032="","",DATE(YEAR($A1032),MONTH($A1032),1))</f>
        <v/>
      </c>
      <c r="Q1032" s="16">
        <f>IF($H1032="","",$J1032*IFERROR(INDEX('Settings'!$L$10:$L$39,MATCH($H1032,'Settings'!$I$10:$I$39,0)),0))</f>
        <v/>
      </c>
      <c r="R1032" s="17">
        <f>IF($A1032="","",$A1032-WEEKDAY($A1032,2)+1)</f>
        <v/>
      </c>
    </row>
    <row r="1033">
      <c r="A1033" s="5" t="n">
        <v>46289</v>
      </c>
      <c r="B1033" s="4" t="inlineStr">
        <is>
          <t>Main branch</t>
        </is>
      </c>
      <c r="C1033" s="4" t="inlineStr">
        <is>
          <t>Main 3</t>
        </is>
      </c>
      <c r="D1033" s="4" t="inlineStr">
        <is>
          <t>Dr Sara Al Harbi</t>
        </is>
      </c>
      <c r="E1033" s="4" t="inlineStr">
        <is>
          <t>P-3496</t>
        </is>
      </c>
      <c r="F1033" s="4" t="inlineStr">
        <is>
          <t>Returning</t>
        </is>
      </c>
      <c r="G1033" s="4" t="inlineStr">
        <is>
          <t>Referral</t>
        </is>
      </c>
      <c r="H1033" s="4" t="inlineStr">
        <is>
          <t>Follow-up visit</t>
        </is>
      </c>
      <c r="I1033" s="9">
        <f>IF($H1033="","",IFERROR(INDEX('Settings'!$J$10:$J$39,MATCH($H1033,'Settings'!$I$10:$I$39,0)),""))</f>
        <v/>
      </c>
      <c r="J1033" s="6" t="n">
        <v>1</v>
      </c>
      <c r="K1033" s="8" t="n">
        <v>150</v>
      </c>
      <c r="L1033" s="8" t="n"/>
      <c r="M1033" s="14">
        <f>IF($A1033="","",$J1033*$K1033)</f>
        <v/>
      </c>
      <c r="N1033" s="14">
        <f>IF($A1033="","",$M1033-$L1033)</f>
        <v/>
      </c>
      <c r="O1033" s="4" t="inlineStr">
        <is>
          <t>Card</t>
        </is>
      </c>
      <c r="P1033" s="15">
        <f>IF($A1033="","",DATE(YEAR($A1033),MONTH($A1033),1))</f>
        <v/>
      </c>
      <c r="Q1033" s="16">
        <f>IF($H1033="","",$J1033*IFERROR(INDEX('Settings'!$L$10:$L$39,MATCH($H1033,'Settings'!$I$10:$I$39,0)),0))</f>
        <v/>
      </c>
      <c r="R1033" s="17">
        <f>IF($A1033="","",$A1033-WEEKDAY($A1033,2)+1)</f>
        <v/>
      </c>
    </row>
    <row r="1034">
      <c r="A1034" s="5" t="n">
        <v>46289</v>
      </c>
      <c r="B1034" s="4" t="inlineStr">
        <is>
          <t>North branch</t>
        </is>
      </c>
      <c r="C1034" s="4" t="inlineStr">
        <is>
          <t>North 1</t>
        </is>
      </c>
      <c r="D1034" s="4" t="inlineStr">
        <is>
          <t>Dr Mohamed Adel</t>
        </is>
      </c>
      <c r="E1034" s="4" t="inlineStr">
        <is>
          <t>P-3469</t>
        </is>
      </c>
      <c r="F1034" s="4" t="inlineStr">
        <is>
          <t>Returning</t>
        </is>
      </c>
      <c r="G1034" s="4" t="inlineStr">
        <is>
          <t>Instagram</t>
        </is>
      </c>
      <c r="H1034" s="4" t="inlineStr">
        <is>
          <t>Botulinum toxin</t>
        </is>
      </c>
      <c r="I1034" s="9">
        <f>IF($H1034="","",IFERROR(INDEX('Settings'!$J$10:$J$39,MATCH($H1034,'Settings'!$I$10:$I$39,0)),""))</f>
        <v/>
      </c>
      <c r="J1034" s="6" t="n">
        <v>1</v>
      </c>
      <c r="K1034" s="8" t="n">
        <v>1500</v>
      </c>
      <c r="L1034" s="8" t="n"/>
      <c r="M1034" s="14">
        <f>IF($A1034="","",$J1034*$K1034)</f>
        <v/>
      </c>
      <c r="N1034" s="14">
        <f>IF($A1034="","",$M1034-$L1034)</f>
        <v/>
      </c>
      <c r="O1034" s="4" t="inlineStr">
        <is>
          <t>Cash</t>
        </is>
      </c>
      <c r="P1034" s="15">
        <f>IF($A1034="","",DATE(YEAR($A1034),MONTH($A1034),1))</f>
        <v/>
      </c>
      <c r="Q1034" s="16">
        <f>IF($H1034="","",$J1034*IFERROR(INDEX('Settings'!$L$10:$L$39,MATCH($H1034,'Settings'!$I$10:$I$39,0)),0))</f>
        <v/>
      </c>
      <c r="R1034" s="17">
        <f>IF($A1034="","",$A1034-WEEKDAY($A1034,2)+1)</f>
        <v/>
      </c>
    </row>
    <row r="1035">
      <c r="A1035" s="5" t="n">
        <v>46289</v>
      </c>
      <c r="B1035" s="4" t="inlineStr">
        <is>
          <t>North branch</t>
        </is>
      </c>
      <c r="C1035" s="4" t="inlineStr">
        <is>
          <t>North 1</t>
        </is>
      </c>
      <c r="D1035" s="4" t="inlineStr">
        <is>
          <t>Dr Khaled Youssef</t>
        </is>
      </c>
      <c r="E1035" s="4" t="inlineStr">
        <is>
          <t>P-3208</t>
        </is>
      </c>
      <c r="F1035" s="4" t="inlineStr">
        <is>
          <t>New</t>
        </is>
      </c>
      <c r="G1035" s="4" t="inlineStr">
        <is>
          <t>Instagram</t>
        </is>
      </c>
      <c r="H1035" s="4" t="inlineStr">
        <is>
          <t>Laser session, face</t>
        </is>
      </c>
      <c r="I1035" s="9">
        <f>IF($H1035="","",IFERROR(INDEX('Settings'!$J$10:$J$39,MATCH($H1035,'Settings'!$I$10:$I$39,0)),""))</f>
        <v/>
      </c>
      <c r="J1035" s="6" t="n">
        <v>1</v>
      </c>
      <c r="K1035" s="8" t="n">
        <v>600</v>
      </c>
      <c r="L1035" s="8" t="n">
        <v>120</v>
      </c>
      <c r="M1035" s="14">
        <f>IF($A1035="","",$J1035*$K1035)</f>
        <v/>
      </c>
      <c r="N1035" s="14">
        <f>IF($A1035="","",$M1035-$L1035)</f>
        <v/>
      </c>
      <c r="O1035" s="4" t="inlineStr">
        <is>
          <t>Insurance</t>
        </is>
      </c>
      <c r="P1035" s="15">
        <f>IF($A1035="","",DATE(YEAR($A1035),MONTH($A1035),1))</f>
        <v/>
      </c>
      <c r="Q1035" s="16">
        <f>IF($H1035="","",$J1035*IFERROR(INDEX('Settings'!$L$10:$L$39,MATCH($H1035,'Settings'!$I$10:$I$39,0)),0))</f>
        <v/>
      </c>
      <c r="R1035" s="17">
        <f>IF($A1035="","",$A1035-WEEKDAY($A1035,2)+1)</f>
        <v/>
      </c>
    </row>
    <row r="1036">
      <c r="A1036" s="5" t="n">
        <v>46289</v>
      </c>
      <c r="B1036" s="4" t="inlineStr">
        <is>
          <t>North branch</t>
        </is>
      </c>
      <c r="C1036" s="4" t="inlineStr">
        <is>
          <t>North 1</t>
        </is>
      </c>
      <c r="D1036" s="4" t="inlineStr">
        <is>
          <t>Dr Khaled Youssef</t>
        </is>
      </c>
      <c r="E1036" s="4" t="inlineStr">
        <is>
          <t>P-3202</t>
        </is>
      </c>
      <c r="F1036" s="4" t="inlineStr">
        <is>
          <t>Returning</t>
        </is>
      </c>
      <c r="G1036" s="4" t="inlineStr">
        <is>
          <t>Instagram</t>
        </is>
      </c>
      <c r="H1036" s="4" t="inlineStr">
        <is>
          <t>Laser session, body</t>
        </is>
      </c>
      <c r="I1036" s="9">
        <f>IF($H1036="","",IFERROR(INDEX('Settings'!$J$10:$J$39,MATCH($H1036,'Settings'!$I$10:$I$39,0)),""))</f>
        <v/>
      </c>
      <c r="J1036" s="6" t="n">
        <v>1</v>
      </c>
      <c r="K1036" s="8" t="n">
        <v>1200</v>
      </c>
      <c r="L1036" s="8" t="n">
        <v>240</v>
      </c>
      <c r="M1036" s="14">
        <f>IF($A1036="","",$J1036*$K1036)</f>
        <v/>
      </c>
      <c r="N1036" s="14">
        <f>IF($A1036="","",$M1036-$L1036)</f>
        <v/>
      </c>
      <c r="O1036" s="4" t="inlineStr">
        <is>
          <t>Transfer</t>
        </is>
      </c>
      <c r="P1036" s="15">
        <f>IF($A1036="","",DATE(YEAR($A1036),MONTH($A1036),1))</f>
        <v/>
      </c>
      <c r="Q1036" s="16">
        <f>IF($H1036="","",$J1036*IFERROR(INDEX('Settings'!$L$10:$L$39,MATCH($H1036,'Settings'!$I$10:$I$39,0)),0))</f>
        <v/>
      </c>
      <c r="R1036" s="17">
        <f>IF($A1036="","",$A1036-WEEKDAY($A1036,2)+1)</f>
        <v/>
      </c>
    </row>
    <row r="1037">
      <c r="A1037" s="5" t="n">
        <v>46289</v>
      </c>
      <c r="B1037" s="4" t="inlineStr">
        <is>
          <t>North branch</t>
        </is>
      </c>
      <c r="C1037" s="4" t="inlineStr">
        <is>
          <t>North 1</t>
        </is>
      </c>
      <c r="D1037" s="4" t="inlineStr">
        <is>
          <t>Dr Khaled Youssef</t>
        </is>
      </c>
      <c r="E1037" s="4" t="inlineStr">
        <is>
          <t>P-2555</t>
        </is>
      </c>
      <c r="F1037" s="4" t="inlineStr">
        <is>
          <t>Returning</t>
        </is>
      </c>
      <c r="G1037" s="4" t="inlineStr">
        <is>
          <t>Referral</t>
        </is>
      </c>
      <c r="H1037" s="4" t="inlineStr">
        <is>
          <t>Botulinum toxin</t>
        </is>
      </c>
      <c r="I1037" s="9">
        <f>IF($H1037="","",IFERROR(INDEX('Settings'!$J$10:$J$39,MATCH($H1037,'Settings'!$I$10:$I$39,0)),""))</f>
        <v/>
      </c>
      <c r="J1037" s="6" t="n">
        <v>1</v>
      </c>
      <c r="K1037" s="8" t="n">
        <v>1500</v>
      </c>
      <c r="L1037" s="8" t="n">
        <v>150</v>
      </c>
      <c r="M1037" s="14">
        <f>IF($A1037="","",$J1037*$K1037)</f>
        <v/>
      </c>
      <c r="N1037" s="14">
        <f>IF($A1037="","",$M1037-$L1037)</f>
        <v/>
      </c>
      <c r="O1037" s="4" t="inlineStr">
        <is>
          <t>Payment link</t>
        </is>
      </c>
      <c r="P1037" s="15">
        <f>IF($A1037="","",DATE(YEAR($A1037),MONTH($A1037),1))</f>
        <v/>
      </c>
      <c r="Q1037" s="16">
        <f>IF($H1037="","",$J1037*IFERROR(INDEX('Settings'!$L$10:$L$39,MATCH($H1037,'Settings'!$I$10:$I$39,0)),0))</f>
        <v/>
      </c>
      <c r="R1037" s="17">
        <f>IF($A1037="","",$A1037-WEEKDAY($A1037,2)+1)</f>
        <v/>
      </c>
    </row>
    <row r="1038">
      <c r="A1038" s="5" t="n">
        <v>46289</v>
      </c>
      <c r="B1038" s="4" t="inlineStr">
        <is>
          <t>North branch</t>
        </is>
      </c>
      <c r="C1038" s="4" t="inlineStr">
        <is>
          <t>North 2</t>
        </is>
      </c>
      <c r="D1038" s="4" t="inlineStr">
        <is>
          <t>Dr Mohamed Adel</t>
        </is>
      </c>
      <c r="E1038" s="4" t="inlineStr">
        <is>
          <t>P-2797</t>
        </is>
      </c>
      <c r="F1038" s="4" t="inlineStr">
        <is>
          <t>New</t>
        </is>
      </c>
      <c r="G1038" s="4" t="inlineStr">
        <is>
          <t>Google</t>
        </is>
      </c>
      <c r="H1038" s="4" t="inlineStr">
        <is>
          <t>Facial cleansing</t>
        </is>
      </c>
      <c r="I1038" s="9">
        <f>IF($H1038="","",IFERROR(INDEX('Settings'!$J$10:$J$39,MATCH($H1038,'Settings'!$I$10:$I$39,0)),""))</f>
        <v/>
      </c>
      <c r="J1038" s="6" t="n">
        <v>1</v>
      </c>
      <c r="K1038" s="8" t="n">
        <v>400</v>
      </c>
      <c r="L1038" s="8" t="n">
        <v>80</v>
      </c>
      <c r="M1038" s="14">
        <f>IF($A1038="","",$J1038*$K1038)</f>
        <v/>
      </c>
      <c r="N1038" s="14">
        <f>IF($A1038="","",$M1038-$L1038)</f>
        <v/>
      </c>
      <c r="O1038" s="4" t="inlineStr">
        <is>
          <t>Transfer</t>
        </is>
      </c>
      <c r="P1038" s="15">
        <f>IF($A1038="","",DATE(YEAR($A1038),MONTH($A1038),1))</f>
        <v/>
      </c>
      <c r="Q1038" s="16">
        <f>IF($H1038="","",$J1038*IFERROR(INDEX('Settings'!$L$10:$L$39,MATCH($H1038,'Settings'!$I$10:$I$39,0)),0))</f>
        <v/>
      </c>
      <c r="R1038" s="17">
        <f>IF($A1038="","",$A1038-WEEKDAY($A1038,2)+1)</f>
        <v/>
      </c>
    </row>
    <row r="1039">
      <c r="A1039" s="5" t="n">
        <v>46289</v>
      </c>
      <c r="B1039" s="4" t="inlineStr">
        <is>
          <t>North branch</t>
        </is>
      </c>
      <c r="C1039" s="4" t="inlineStr">
        <is>
          <t>North 2</t>
        </is>
      </c>
      <c r="D1039" s="4" t="inlineStr">
        <is>
          <t>Dr Khaled Youssef</t>
        </is>
      </c>
      <c r="E1039" s="4" t="inlineStr">
        <is>
          <t>P-2696</t>
        </is>
      </c>
      <c r="F1039" s="4" t="inlineStr">
        <is>
          <t>Returning</t>
        </is>
      </c>
      <c r="G1039" s="4" t="inlineStr">
        <is>
          <t>Google</t>
        </is>
      </c>
      <c r="H1039" s="4" t="inlineStr">
        <is>
          <t>Specialist consultation</t>
        </is>
      </c>
      <c r="I1039" s="9">
        <f>IF($H1039="","",IFERROR(INDEX('Settings'!$J$10:$J$39,MATCH($H1039,'Settings'!$I$10:$I$39,0)),""))</f>
        <v/>
      </c>
      <c r="J1039" s="6" t="n">
        <v>1</v>
      </c>
      <c r="K1039" s="8" t="n">
        <v>350</v>
      </c>
      <c r="L1039" s="8" t="n"/>
      <c r="M1039" s="14">
        <f>IF($A1039="","",$J1039*$K1039)</f>
        <v/>
      </c>
      <c r="N1039" s="14">
        <f>IF($A1039="","",$M1039-$L1039)</f>
        <v/>
      </c>
      <c r="O1039" s="4" t="inlineStr">
        <is>
          <t>Card</t>
        </is>
      </c>
      <c r="P1039" s="15">
        <f>IF($A1039="","",DATE(YEAR($A1039),MONTH($A1039),1))</f>
        <v/>
      </c>
      <c r="Q1039" s="16">
        <f>IF($H1039="","",$J1039*IFERROR(INDEX('Settings'!$L$10:$L$39,MATCH($H1039,'Settings'!$I$10:$I$39,0)),0))</f>
        <v/>
      </c>
      <c r="R1039" s="17">
        <f>IF($A1039="","",$A1039-WEEKDAY($A1039,2)+1)</f>
        <v/>
      </c>
    </row>
    <row r="1040">
      <c r="A1040" s="5" t="n">
        <v>46291</v>
      </c>
      <c r="B1040" s="4" t="inlineStr">
        <is>
          <t>Main branch</t>
        </is>
      </c>
      <c r="C1040" s="4" t="inlineStr">
        <is>
          <t>Main 1</t>
        </is>
      </c>
      <c r="D1040" s="4" t="inlineStr">
        <is>
          <t>Dr Ahmed Mansour</t>
        </is>
      </c>
      <c r="E1040" s="4" t="inlineStr">
        <is>
          <t>P-3355</t>
        </is>
      </c>
      <c r="F1040" s="4" t="inlineStr">
        <is>
          <t>Returning</t>
        </is>
      </c>
      <c r="G1040" s="4" t="inlineStr">
        <is>
          <t>Google</t>
        </is>
      </c>
      <c r="H1040" s="4" t="inlineStr">
        <is>
          <t>Physiotherapy session</t>
        </is>
      </c>
      <c r="I1040" s="9">
        <f>IF($H1040="","",IFERROR(INDEX('Settings'!$J$10:$J$39,MATCH($H1040,'Settings'!$I$10:$I$39,0)),""))</f>
        <v/>
      </c>
      <c r="J1040" s="6" t="n">
        <v>1</v>
      </c>
      <c r="K1040" s="8" t="n">
        <v>300</v>
      </c>
      <c r="L1040" s="8" t="n">
        <v>60</v>
      </c>
      <c r="M1040" s="14">
        <f>IF($A1040="","",$J1040*$K1040)</f>
        <v/>
      </c>
      <c r="N1040" s="14">
        <f>IF($A1040="","",$M1040-$L1040)</f>
        <v/>
      </c>
      <c r="O1040" s="4" t="inlineStr">
        <is>
          <t>Cash</t>
        </is>
      </c>
      <c r="P1040" s="15">
        <f>IF($A1040="","",DATE(YEAR($A1040),MONTH($A1040),1))</f>
        <v/>
      </c>
      <c r="Q1040" s="16">
        <f>IF($H1040="","",$J1040*IFERROR(INDEX('Settings'!$L$10:$L$39,MATCH($H1040,'Settings'!$I$10:$I$39,0)),0))</f>
        <v/>
      </c>
      <c r="R1040" s="17">
        <f>IF($A1040="","",$A1040-WEEKDAY($A1040,2)+1)</f>
        <v/>
      </c>
    </row>
    <row r="1041">
      <c r="A1041" s="5" t="n">
        <v>46291</v>
      </c>
      <c r="B1041" s="4" t="inlineStr">
        <is>
          <t>Main branch</t>
        </is>
      </c>
      <c r="C1041" s="4" t="inlineStr">
        <is>
          <t>Main 1</t>
        </is>
      </c>
      <c r="D1041" s="4" t="inlineStr">
        <is>
          <t>Dr Sara Al Harbi</t>
        </is>
      </c>
      <c r="E1041" s="4" t="inlineStr">
        <is>
          <t>P-2445</t>
        </is>
      </c>
      <c r="F1041" s="4" t="inlineStr">
        <is>
          <t>Returning</t>
        </is>
      </c>
      <c r="G1041" s="4" t="inlineStr">
        <is>
          <t>WhatsApp</t>
        </is>
      </c>
      <c r="H1041" s="4" t="inlineStr">
        <is>
          <t>Specialist consultation</t>
        </is>
      </c>
      <c r="I1041" s="9">
        <f>IF($H1041="","",IFERROR(INDEX('Settings'!$J$10:$J$39,MATCH($H1041,'Settings'!$I$10:$I$39,0)),""))</f>
        <v/>
      </c>
      <c r="J1041" s="6" t="n">
        <v>1</v>
      </c>
      <c r="K1041" s="8" t="n">
        <v>350</v>
      </c>
      <c r="L1041" s="8" t="n"/>
      <c r="M1041" s="14">
        <f>IF($A1041="","",$J1041*$K1041)</f>
        <v/>
      </c>
      <c r="N1041" s="14">
        <f>IF($A1041="","",$M1041-$L1041)</f>
        <v/>
      </c>
      <c r="O1041" s="4" t="inlineStr">
        <is>
          <t>Transfer</t>
        </is>
      </c>
      <c r="P1041" s="15">
        <f>IF($A1041="","",DATE(YEAR($A1041),MONTH($A1041),1))</f>
        <v/>
      </c>
      <c r="Q1041" s="16">
        <f>IF($H1041="","",$J1041*IFERROR(INDEX('Settings'!$L$10:$L$39,MATCH($H1041,'Settings'!$I$10:$I$39,0)),0))</f>
        <v/>
      </c>
      <c r="R1041" s="17">
        <f>IF($A1041="","",$A1041-WEEKDAY($A1041,2)+1)</f>
        <v/>
      </c>
    </row>
    <row r="1042">
      <c r="A1042" s="5" t="n">
        <v>46291</v>
      </c>
      <c r="B1042" s="4" t="inlineStr">
        <is>
          <t>Main branch</t>
        </is>
      </c>
      <c r="C1042" s="4" t="inlineStr">
        <is>
          <t>Main 2</t>
        </is>
      </c>
      <c r="D1042" s="4" t="inlineStr">
        <is>
          <t>Dr Noura Al Subaie</t>
        </is>
      </c>
      <c r="E1042" s="4" t="inlineStr">
        <is>
          <t>P-2967</t>
        </is>
      </c>
      <c r="F1042" s="4" t="inlineStr">
        <is>
          <t>Returning</t>
        </is>
      </c>
      <c r="G1042" s="4" t="inlineStr">
        <is>
          <t>Referral</t>
        </is>
      </c>
      <c r="H1042" s="4" t="inlineStr">
        <is>
          <t>Skin tag removal</t>
        </is>
      </c>
      <c r="I1042" s="9">
        <f>IF($H1042="","",IFERROR(INDEX('Settings'!$J$10:$J$39,MATCH($H1042,'Settings'!$I$10:$I$39,0)),""))</f>
        <v/>
      </c>
      <c r="J1042" s="6" t="n">
        <v>1</v>
      </c>
      <c r="K1042" s="8" t="n">
        <v>500</v>
      </c>
      <c r="L1042" s="8" t="n"/>
      <c r="M1042" s="14">
        <f>IF($A1042="","",$J1042*$K1042)</f>
        <v/>
      </c>
      <c r="N1042" s="14">
        <f>IF($A1042="","",$M1042-$L1042)</f>
        <v/>
      </c>
      <c r="O1042" s="4" t="inlineStr">
        <is>
          <t>Cash</t>
        </is>
      </c>
      <c r="P1042" s="15">
        <f>IF($A1042="","",DATE(YEAR($A1042),MONTH($A1042),1))</f>
        <v/>
      </c>
      <c r="Q1042" s="16">
        <f>IF($H1042="","",$J1042*IFERROR(INDEX('Settings'!$L$10:$L$39,MATCH($H1042,'Settings'!$I$10:$I$39,0)),0))</f>
        <v/>
      </c>
      <c r="R1042" s="17">
        <f>IF($A1042="","",$A1042-WEEKDAY($A1042,2)+1)</f>
        <v/>
      </c>
    </row>
    <row r="1043">
      <c r="A1043" s="5" t="n">
        <v>46291</v>
      </c>
      <c r="B1043" s="4" t="inlineStr">
        <is>
          <t>Main branch</t>
        </is>
      </c>
      <c r="C1043" s="4" t="inlineStr">
        <is>
          <t>Main 3</t>
        </is>
      </c>
      <c r="D1043" s="4" t="inlineStr">
        <is>
          <t>Dr Noura Al Subaie</t>
        </is>
      </c>
      <c r="E1043" s="4" t="inlineStr">
        <is>
          <t>P-3403</t>
        </is>
      </c>
      <c r="F1043" s="4" t="inlineStr">
        <is>
          <t>Returning</t>
        </is>
      </c>
      <c r="G1043" s="4" t="inlineStr">
        <is>
          <t>Walk-in</t>
        </is>
      </c>
      <c r="H1043" s="4" t="inlineStr">
        <is>
          <t>Specialist consultation</t>
        </is>
      </c>
      <c r="I1043" s="9">
        <f>IF($H1043="","",IFERROR(INDEX('Settings'!$J$10:$J$39,MATCH($H1043,'Settings'!$I$10:$I$39,0)),""))</f>
        <v/>
      </c>
      <c r="J1043" s="6" t="n">
        <v>1</v>
      </c>
      <c r="K1043" s="8" t="n">
        <v>350</v>
      </c>
      <c r="L1043" s="8" t="n"/>
      <c r="M1043" s="14">
        <f>IF($A1043="","",$J1043*$K1043)</f>
        <v/>
      </c>
      <c r="N1043" s="14">
        <f>IF($A1043="","",$M1043-$L1043)</f>
        <v/>
      </c>
      <c r="O1043" s="4" t="inlineStr">
        <is>
          <t>Card</t>
        </is>
      </c>
      <c r="P1043" s="15">
        <f>IF($A1043="","",DATE(YEAR($A1043),MONTH($A1043),1))</f>
        <v/>
      </c>
      <c r="Q1043" s="16">
        <f>IF($H1043="","",$J1043*IFERROR(INDEX('Settings'!$L$10:$L$39,MATCH($H1043,'Settings'!$I$10:$I$39,0)),0))</f>
        <v/>
      </c>
      <c r="R1043" s="17">
        <f>IF($A1043="","",$A1043-WEEKDAY($A1043,2)+1)</f>
        <v/>
      </c>
    </row>
    <row r="1044">
      <c r="A1044" s="5" t="n">
        <v>46291</v>
      </c>
      <c r="B1044" s="4" t="inlineStr">
        <is>
          <t>Main branch</t>
        </is>
      </c>
      <c r="C1044" s="4" t="inlineStr">
        <is>
          <t>Main 3</t>
        </is>
      </c>
      <c r="D1044" s="4" t="inlineStr">
        <is>
          <t>Dr Ahmed Mansour</t>
        </is>
      </c>
      <c r="E1044" s="4" t="inlineStr">
        <is>
          <t>P-3298</t>
        </is>
      </c>
      <c r="F1044" s="4" t="inlineStr">
        <is>
          <t>Returning</t>
        </is>
      </c>
      <c r="G1044" s="4" t="inlineStr">
        <is>
          <t>Walk-in</t>
        </is>
      </c>
      <c r="H1044" s="4" t="inlineStr">
        <is>
          <t>Skin tag removal</t>
        </is>
      </c>
      <c r="I1044" s="9">
        <f>IF($H1044="","",IFERROR(INDEX('Settings'!$J$10:$J$39,MATCH($H1044,'Settings'!$I$10:$I$39,0)),""))</f>
        <v/>
      </c>
      <c r="J1044" s="6" t="n">
        <v>1</v>
      </c>
      <c r="K1044" s="8" t="n">
        <v>500</v>
      </c>
      <c r="L1044" s="8" t="n"/>
      <c r="M1044" s="14">
        <f>IF($A1044="","",$J1044*$K1044)</f>
        <v/>
      </c>
      <c r="N1044" s="14">
        <f>IF($A1044="","",$M1044-$L1044)</f>
        <v/>
      </c>
      <c r="O1044" s="4" t="inlineStr">
        <is>
          <t>Card</t>
        </is>
      </c>
      <c r="P1044" s="15">
        <f>IF($A1044="","",DATE(YEAR($A1044),MONTH($A1044),1))</f>
        <v/>
      </c>
      <c r="Q1044" s="16">
        <f>IF($H1044="","",$J1044*IFERROR(INDEX('Settings'!$L$10:$L$39,MATCH($H1044,'Settings'!$I$10:$I$39,0)),0))</f>
        <v/>
      </c>
      <c r="R1044" s="17">
        <f>IF($A1044="","",$A1044-WEEKDAY($A1044,2)+1)</f>
        <v/>
      </c>
    </row>
    <row r="1045">
      <c r="A1045" s="5" t="n">
        <v>46291</v>
      </c>
      <c r="B1045" s="4" t="inlineStr">
        <is>
          <t>Main branch</t>
        </is>
      </c>
      <c r="C1045" s="4" t="inlineStr">
        <is>
          <t>Main 4</t>
        </is>
      </c>
      <c r="D1045" s="4" t="inlineStr">
        <is>
          <t>Dr Sara Al Harbi</t>
        </is>
      </c>
      <c r="E1045" s="4" t="inlineStr">
        <is>
          <t>P-2273</t>
        </is>
      </c>
      <c r="F1045" s="4" t="inlineStr">
        <is>
          <t>New</t>
        </is>
      </c>
      <c r="G1045" s="4" t="inlineStr">
        <is>
          <t>Walk-in</t>
        </is>
      </c>
      <c r="H1045" s="4" t="inlineStr">
        <is>
          <t>Laser session, face</t>
        </is>
      </c>
      <c r="I1045" s="9">
        <f>IF($H1045="","",IFERROR(INDEX('Settings'!$J$10:$J$39,MATCH($H1045,'Settings'!$I$10:$I$39,0)),""))</f>
        <v/>
      </c>
      <c r="J1045" s="6" t="n">
        <v>1</v>
      </c>
      <c r="K1045" s="8" t="n">
        <v>600</v>
      </c>
      <c r="L1045" s="8" t="n">
        <v>30</v>
      </c>
      <c r="M1045" s="14">
        <f>IF($A1045="","",$J1045*$K1045)</f>
        <v/>
      </c>
      <c r="N1045" s="14">
        <f>IF($A1045="","",$M1045-$L1045)</f>
        <v/>
      </c>
      <c r="O1045" s="4" t="inlineStr">
        <is>
          <t>Card</t>
        </is>
      </c>
      <c r="P1045" s="15">
        <f>IF($A1045="","",DATE(YEAR($A1045),MONTH($A1045),1))</f>
        <v/>
      </c>
      <c r="Q1045" s="16">
        <f>IF($H1045="","",$J1045*IFERROR(INDEX('Settings'!$L$10:$L$39,MATCH($H1045,'Settings'!$I$10:$I$39,0)),0))</f>
        <v/>
      </c>
      <c r="R1045" s="17">
        <f>IF($A1045="","",$A1045-WEEKDAY($A1045,2)+1)</f>
        <v/>
      </c>
    </row>
    <row r="1046">
      <c r="A1046" s="5" t="n">
        <v>46291</v>
      </c>
      <c r="B1046" s="4" t="inlineStr">
        <is>
          <t>Main branch</t>
        </is>
      </c>
      <c r="C1046" s="4" t="inlineStr">
        <is>
          <t>Main 4</t>
        </is>
      </c>
      <c r="D1046" s="4" t="inlineStr">
        <is>
          <t>Dr Noura Al Subaie</t>
        </is>
      </c>
      <c r="E1046" s="4" t="inlineStr">
        <is>
          <t>P-3468</t>
        </is>
      </c>
      <c r="F1046" s="4" t="inlineStr">
        <is>
          <t>New</t>
        </is>
      </c>
      <c r="G1046" s="4" t="inlineStr">
        <is>
          <t>Instagram</t>
        </is>
      </c>
      <c r="H1046" s="4" t="inlineStr">
        <is>
          <t>Sunscreen cream</t>
        </is>
      </c>
      <c r="I1046" s="9">
        <f>IF($H1046="","",IFERROR(INDEX('Settings'!$J$10:$J$39,MATCH($H1046,'Settings'!$I$10:$I$39,0)),""))</f>
        <v/>
      </c>
      <c r="J1046" s="6" t="n">
        <v>1</v>
      </c>
      <c r="K1046" s="8" t="n">
        <v>120</v>
      </c>
      <c r="L1046" s="8" t="n"/>
      <c r="M1046" s="14">
        <f>IF($A1046="","",$J1046*$K1046)</f>
        <v/>
      </c>
      <c r="N1046" s="14">
        <f>IF($A1046="","",$M1046-$L1046)</f>
        <v/>
      </c>
      <c r="O1046" s="4" t="inlineStr">
        <is>
          <t>Cash</t>
        </is>
      </c>
      <c r="P1046" s="15">
        <f>IF($A1046="","",DATE(YEAR($A1046),MONTH($A1046),1))</f>
        <v/>
      </c>
      <c r="Q1046" s="16">
        <f>IF($H1046="","",$J1046*IFERROR(INDEX('Settings'!$L$10:$L$39,MATCH($H1046,'Settings'!$I$10:$I$39,0)),0))</f>
        <v/>
      </c>
      <c r="R1046" s="17">
        <f>IF($A1046="","",$A1046-WEEKDAY($A1046,2)+1)</f>
        <v/>
      </c>
    </row>
    <row r="1047">
      <c r="A1047" s="5" t="n">
        <v>46291</v>
      </c>
      <c r="B1047" s="4" t="inlineStr">
        <is>
          <t>Main branch</t>
        </is>
      </c>
      <c r="C1047" s="4" t="inlineStr">
        <is>
          <t>Main 4</t>
        </is>
      </c>
      <c r="D1047" s="4" t="inlineStr">
        <is>
          <t>Dr Ahmed Mansour</t>
        </is>
      </c>
      <c r="E1047" s="4" t="inlineStr">
        <is>
          <t>P-3465</t>
        </is>
      </c>
      <c r="F1047" s="4" t="inlineStr">
        <is>
          <t>Returning</t>
        </is>
      </c>
      <c r="G1047" s="4" t="inlineStr">
        <is>
          <t>Instagram</t>
        </is>
      </c>
      <c r="H1047" s="4" t="inlineStr">
        <is>
          <t>Filler injection</t>
        </is>
      </c>
      <c r="I1047" s="9">
        <f>IF($H1047="","",IFERROR(INDEX('Settings'!$J$10:$J$39,MATCH($H1047,'Settings'!$I$10:$I$39,0)),""))</f>
        <v/>
      </c>
      <c r="J1047" s="6" t="n">
        <v>1</v>
      </c>
      <c r="K1047" s="8" t="n">
        <v>1800</v>
      </c>
      <c r="L1047" s="8" t="n"/>
      <c r="M1047" s="14">
        <f>IF($A1047="","",$J1047*$K1047)</f>
        <v/>
      </c>
      <c r="N1047" s="14">
        <f>IF($A1047="","",$M1047-$L1047)</f>
        <v/>
      </c>
      <c r="O1047" s="4" t="inlineStr">
        <is>
          <t>Card</t>
        </is>
      </c>
      <c r="P1047" s="15">
        <f>IF($A1047="","",DATE(YEAR($A1047),MONTH($A1047),1))</f>
        <v/>
      </c>
      <c r="Q1047" s="16">
        <f>IF($H1047="","",$J1047*IFERROR(INDEX('Settings'!$L$10:$L$39,MATCH($H1047,'Settings'!$I$10:$I$39,0)),0))</f>
        <v/>
      </c>
      <c r="R1047" s="17">
        <f>IF($A1047="","",$A1047-WEEKDAY($A1047,2)+1)</f>
        <v/>
      </c>
    </row>
    <row r="1048">
      <c r="A1048" s="5" t="n">
        <v>46291</v>
      </c>
      <c r="B1048" s="4" t="inlineStr">
        <is>
          <t>North branch</t>
        </is>
      </c>
      <c r="C1048" s="4" t="inlineStr">
        <is>
          <t>North 1</t>
        </is>
      </c>
      <c r="D1048" s="4" t="inlineStr">
        <is>
          <t>Dr Khaled Youssef</t>
        </is>
      </c>
      <c r="E1048" s="4" t="inlineStr">
        <is>
          <t>P-2476</t>
        </is>
      </c>
      <c r="F1048" s="4" t="inlineStr">
        <is>
          <t>Returning</t>
        </is>
      </c>
      <c r="G1048" s="4" t="inlineStr">
        <is>
          <t>Referral</t>
        </is>
      </c>
      <c r="H1048" s="4" t="inlineStr">
        <is>
          <t>Sunscreen cream</t>
        </is>
      </c>
      <c r="I1048" s="9">
        <f>IF($H1048="","",IFERROR(INDEX('Settings'!$J$10:$J$39,MATCH($H1048,'Settings'!$I$10:$I$39,0)),""))</f>
        <v/>
      </c>
      <c r="J1048" s="6" t="n">
        <v>1</v>
      </c>
      <c r="K1048" s="8" t="n">
        <v>120</v>
      </c>
      <c r="L1048" s="8" t="n"/>
      <c r="M1048" s="14">
        <f>IF($A1048="","",$J1048*$K1048)</f>
        <v/>
      </c>
      <c r="N1048" s="14">
        <f>IF($A1048="","",$M1048-$L1048)</f>
        <v/>
      </c>
      <c r="O1048" s="4" t="inlineStr">
        <is>
          <t>Payment link</t>
        </is>
      </c>
      <c r="P1048" s="15">
        <f>IF($A1048="","",DATE(YEAR($A1048),MONTH($A1048),1))</f>
        <v/>
      </c>
      <c r="Q1048" s="16">
        <f>IF($H1048="","",$J1048*IFERROR(INDEX('Settings'!$L$10:$L$39,MATCH($H1048,'Settings'!$I$10:$I$39,0)),0))</f>
        <v/>
      </c>
      <c r="R1048" s="17">
        <f>IF($A1048="","",$A1048-WEEKDAY($A1048,2)+1)</f>
        <v/>
      </c>
    </row>
    <row r="1049">
      <c r="A1049" s="5" t="n">
        <v>46291</v>
      </c>
      <c r="B1049" s="4" t="inlineStr">
        <is>
          <t>North branch</t>
        </is>
      </c>
      <c r="C1049" s="4" t="inlineStr">
        <is>
          <t>North 1</t>
        </is>
      </c>
      <c r="D1049" s="4" t="inlineStr">
        <is>
          <t>Dr Khaled Youssef</t>
        </is>
      </c>
      <c r="E1049" s="4" t="inlineStr">
        <is>
          <t>P-3217</t>
        </is>
      </c>
      <c r="F1049" s="4" t="inlineStr">
        <is>
          <t>Returning</t>
        </is>
      </c>
      <c r="G1049" s="4" t="inlineStr">
        <is>
          <t>Referral</t>
        </is>
      </c>
      <c r="H1049" s="4" t="inlineStr">
        <is>
          <t>Vitamin C serum</t>
        </is>
      </c>
      <c r="I1049" s="9">
        <f>IF($H1049="","",IFERROR(INDEX('Settings'!$J$10:$J$39,MATCH($H1049,'Settings'!$I$10:$I$39,0)),""))</f>
        <v/>
      </c>
      <c r="J1049" s="6" t="n">
        <v>1</v>
      </c>
      <c r="K1049" s="8" t="n">
        <v>220</v>
      </c>
      <c r="L1049" s="8" t="n"/>
      <c r="M1049" s="14">
        <f>IF($A1049="","",$J1049*$K1049)</f>
        <v/>
      </c>
      <c r="N1049" s="14">
        <f>IF($A1049="","",$M1049-$L1049)</f>
        <v/>
      </c>
      <c r="O1049" s="4" t="inlineStr">
        <is>
          <t>Cash</t>
        </is>
      </c>
      <c r="P1049" s="15">
        <f>IF($A1049="","",DATE(YEAR($A1049),MONTH($A1049),1))</f>
        <v/>
      </c>
      <c r="Q1049" s="16">
        <f>IF($H1049="","",$J1049*IFERROR(INDEX('Settings'!$L$10:$L$39,MATCH($H1049,'Settings'!$I$10:$I$39,0)),0))</f>
        <v/>
      </c>
      <c r="R1049" s="17">
        <f>IF($A1049="","",$A1049-WEEKDAY($A1049,2)+1)</f>
        <v/>
      </c>
    </row>
    <row r="1050">
      <c r="A1050" s="5" t="n">
        <v>46291</v>
      </c>
      <c r="B1050" s="4" t="inlineStr">
        <is>
          <t>North branch</t>
        </is>
      </c>
      <c r="C1050" s="4" t="inlineStr">
        <is>
          <t>North 1</t>
        </is>
      </c>
      <c r="D1050" s="4" t="inlineStr">
        <is>
          <t>Dr Mohamed Adel</t>
        </is>
      </c>
      <c r="E1050" s="4" t="inlineStr">
        <is>
          <t>P-2779</t>
        </is>
      </c>
      <c r="F1050" s="4" t="inlineStr">
        <is>
          <t>Returning</t>
        </is>
      </c>
      <c r="G1050" s="4" t="inlineStr">
        <is>
          <t>WhatsApp</t>
        </is>
      </c>
      <c r="H1050" s="4" t="inlineStr">
        <is>
          <t>Follow-up visit</t>
        </is>
      </c>
      <c r="I1050" s="9">
        <f>IF($H1050="","",IFERROR(INDEX('Settings'!$J$10:$J$39,MATCH($H1050,'Settings'!$I$10:$I$39,0)),""))</f>
        <v/>
      </c>
      <c r="J1050" s="6" t="n">
        <v>1</v>
      </c>
      <c r="K1050" s="8" t="n">
        <v>150</v>
      </c>
      <c r="L1050" s="8" t="n"/>
      <c r="M1050" s="14">
        <f>IF($A1050="","",$J1050*$K1050)</f>
        <v/>
      </c>
      <c r="N1050" s="14">
        <f>IF($A1050="","",$M1050-$L1050)</f>
        <v/>
      </c>
      <c r="O1050" s="4" t="inlineStr">
        <is>
          <t>Insurance</t>
        </is>
      </c>
      <c r="P1050" s="15">
        <f>IF($A1050="","",DATE(YEAR($A1050),MONTH($A1050),1))</f>
        <v/>
      </c>
      <c r="Q1050" s="16">
        <f>IF($H1050="","",$J1050*IFERROR(INDEX('Settings'!$L$10:$L$39,MATCH($H1050,'Settings'!$I$10:$I$39,0)),0))</f>
        <v/>
      </c>
      <c r="R1050" s="17">
        <f>IF($A1050="","",$A1050-WEEKDAY($A1050,2)+1)</f>
        <v/>
      </c>
    </row>
    <row r="1051">
      <c r="A1051" s="5" t="n">
        <v>46291</v>
      </c>
      <c r="B1051" s="4" t="inlineStr">
        <is>
          <t>North branch</t>
        </is>
      </c>
      <c r="C1051" s="4" t="inlineStr">
        <is>
          <t>North 1</t>
        </is>
      </c>
      <c r="D1051" s="4" t="inlineStr">
        <is>
          <t>Dr Mohamed Adel</t>
        </is>
      </c>
      <c r="E1051" s="4" t="inlineStr">
        <is>
          <t>P-2134</t>
        </is>
      </c>
      <c r="F1051" s="4" t="inlineStr">
        <is>
          <t>Returning</t>
        </is>
      </c>
      <c r="G1051" s="4" t="inlineStr">
        <is>
          <t>Instagram</t>
        </is>
      </c>
      <c r="H1051" s="4" t="inlineStr">
        <is>
          <t>Physiotherapy session</t>
        </is>
      </c>
      <c r="I1051" s="9">
        <f>IF($H1051="","",IFERROR(INDEX('Settings'!$J$10:$J$39,MATCH($H1051,'Settings'!$I$10:$I$39,0)),""))</f>
        <v/>
      </c>
      <c r="J1051" s="6" t="n">
        <v>1</v>
      </c>
      <c r="K1051" s="8" t="n">
        <v>300</v>
      </c>
      <c r="L1051" s="8" t="n"/>
      <c r="M1051" s="14">
        <f>IF($A1051="","",$J1051*$K1051)</f>
        <v/>
      </c>
      <c r="N1051" s="14">
        <f>IF($A1051="","",$M1051-$L1051)</f>
        <v/>
      </c>
      <c r="O1051" s="4" t="inlineStr">
        <is>
          <t>Insurance</t>
        </is>
      </c>
      <c r="P1051" s="15">
        <f>IF($A1051="","",DATE(YEAR($A1051),MONTH($A1051),1))</f>
        <v/>
      </c>
      <c r="Q1051" s="16">
        <f>IF($H1051="","",$J1051*IFERROR(INDEX('Settings'!$L$10:$L$39,MATCH($H1051,'Settings'!$I$10:$I$39,0)),0))</f>
        <v/>
      </c>
      <c r="R1051" s="17">
        <f>IF($A1051="","",$A1051-WEEKDAY($A1051,2)+1)</f>
        <v/>
      </c>
    </row>
    <row r="1052">
      <c r="A1052" s="5" t="n">
        <v>46291</v>
      </c>
      <c r="B1052" s="4" t="inlineStr">
        <is>
          <t>North branch</t>
        </is>
      </c>
      <c r="C1052" s="4" t="inlineStr">
        <is>
          <t>North 2</t>
        </is>
      </c>
      <c r="D1052" s="4" t="inlineStr">
        <is>
          <t>Dr Mohamed Adel</t>
        </is>
      </c>
      <c r="E1052" s="4" t="inlineStr">
        <is>
          <t>P-3159</t>
        </is>
      </c>
      <c r="F1052" s="4" t="inlineStr">
        <is>
          <t>New</t>
        </is>
      </c>
      <c r="G1052" s="4" t="inlineStr">
        <is>
          <t>Instagram</t>
        </is>
      </c>
      <c r="H1052" s="4" t="inlineStr">
        <is>
          <t>Vitamin C serum</t>
        </is>
      </c>
      <c r="I1052" s="9">
        <f>IF($H1052="","",IFERROR(INDEX('Settings'!$J$10:$J$39,MATCH($H1052,'Settings'!$I$10:$I$39,0)),""))</f>
        <v/>
      </c>
      <c r="J1052" s="6" t="n">
        <v>2</v>
      </c>
      <c r="K1052" s="8" t="n">
        <v>220</v>
      </c>
      <c r="L1052" s="8" t="n"/>
      <c r="M1052" s="14">
        <f>IF($A1052="","",$J1052*$K1052)</f>
        <v/>
      </c>
      <c r="N1052" s="14">
        <f>IF($A1052="","",$M1052-$L1052)</f>
        <v/>
      </c>
      <c r="O1052" s="4" t="inlineStr">
        <is>
          <t>Card</t>
        </is>
      </c>
      <c r="P1052" s="15">
        <f>IF($A1052="","",DATE(YEAR($A1052),MONTH($A1052),1))</f>
        <v/>
      </c>
      <c r="Q1052" s="16">
        <f>IF($H1052="","",$J1052*IFERROR(INDEX('Settings'!$L$10:$L$39,MATCH($H1052,'Settings'!$I$10:$I$39,0)),0))</f>
        <v/>
      </c>
      <c r="R1052" s="17">
        <f>IF($A1052="","",$A1052-WEEKDAY($A1052,2)+1)</f>
        <v/>
      </c>
    </row>
    <row r="1053">
      <c r="A1053" s="5" t="n">
        <v>46291</v>
      </c>
      <c r="B1053" s="4" t="inlineStr">
        <is>
          <t>North branch</t>
        </is>
      </c>
      <c r="C1053" s="4" t="inlineStr">
        <is>
          <t>North 2</t>
        </is>
      </c>
      <c r="D1053" s="4" t="inlineStr">
        <is>
          <t>Dr Layla Al Qahtani</t>
        </is>
      </c>
      <c r="E1053" s="4" t="inlineStr">
        <is>
          <t>P-2145</t>
        </is>
      </c>
      <c r="F1053" s="4" t="inlineStr">
        <is>
          <t>Returning</t>
        </is>
      </c>
      <c r="G1053" s="4" t="inlineStr">
        <is>
          <t>Referral</t>
        </is>
      </c>
      <c r="H1053" s="4" t="inlineStr">
        <is>
          <t>Specialist consultation</t>
        </is>
      </c>
      <c r="I1053" s="9">
        <f>IF($H1053="","",IFERROR(INDEX('Settings'!$J$10:$J$39,MATCH($H1053,'Settings'!$I$10:$I$39,0)),""))</f>
        <v/>
      </c>
      <c r="J1053" s="6" t="n">
        <v>1</v>
      </c>
      <c r="K1053" s="8" t="n">
        <v>350</v>
      </c>
      <c r="L1053" s="8" t="n"/>
      <c r="M1053" s="14">
        <f>IF($A1053="","",$J1053*$K1053)</f>
        <v/>
      </c>
      <c r="N1053" s="14">
        <f>IF($A1053="","",$M1053-$L1053)</f>
        <v/>
      </c>
      <c r="O1053" s="4" t="inlineStr">
        <is>
          <t>Insurance</t>
        </is>
      </c>
      <c r="P1053" s="15">
        <f>IF($A1053="","",DATE(YEAR($A1053),MONTH($A1053),1))</f>
        <v/>
      </c>
      <c r="Q1053" s="16">
        <f>IF($H1053="","",$J1053*IFERROR(INDEX('Settings'!$L$10:$L$39,MATCH($H1053,'Settings'!$I$10:$I$39,0)),0))</f>
        <v/>
      </c>
      <c r="R1053" s="17">
        <f>IF($A1053="","",$A1053-WEEKDAY($A1053,2)+1)</f>
        <v/>
      </c>
    </row>
    <row r="1054">
      <c r="A1054" s="5" t="n">
        <v>46291</v>
      </c>
      <c r="B1054" s="4" t="inlineStr">
        <is>
          <t>North branch</t>
        </is>
      </c>
      <c r="C1054" s="4" t="inlineStr">
        <is>
          <t>North 2</t>
        </is>
      </c>
      <c r="D1054" s="4" t="inlineStr">
        <is>
          <t>Dr Khaled Youssef</t>
        </is>
      </c>
      <c r="E1054" s="4" t="inlineStr">
        <is>
          <t>P-3079</t>
        </is>
      </c>
      <c r="F1054" s="4" t="inlineStr">
        <is>
          <t>New</t>
        </is>
      </c>
      <c r="G1054" s="4" t="inlineStr">
        <is>
          <t>Google</t>
        </is>
      </c>
      <c r="H1054" s="4" t="inlineStr">
        <is>
          <t>Follow-up visit</t>
        </is>
      </c>
      <c r="I1054" s="9">
        <f>IF($H1054="","",IFERROR(INDEX('Settings'!$J$10:$J$39,MATCH($H1054,'Settings'!$I$10:$I$39,0)),""))</f>
        <v/>
      </c>
      <c r="J1054" s="6" t="n">
        <v>1</v>
      </c>
      <c r="K1054" s="8" t="n">
        <v>150</v>
      </c>
      <c r="L1054" s="8" t="n"/>
      <c r="M1054" s="14">
        <f>IF($A1054="","",$J1054*$K1054)</f>
        <v/>
      </c>
      <c r="N1054" s="14">
        <f>IF($A1054="","",$M1054-$L1054)</f>
        <v/>
      </c>
      <c r="O1054" s="4" t="inlineStr">
        <is>
          <t>Cash</t>
        </is>
      </c>
      <c r="P1054" s="15">
        <f>IF($A1054="","",DATE(YEAR($A1054),MONTH($A1054),1))</f>
        <v/>
      </c>
      <c r="Q1054" s="16">
        <f>IF($H1054="","",$J1054*IFERROR(INDEX('Settings'!$L$10:$L$39,MATCH($H1054,'Settings'!$I$10:$I$39,0)),0))</f>
        <v/>
      </c>
      <c r="R1054" s="17">
        <f>IF($A1054="","",$A1054-WEEKDAY($A1054,2)+1)</f>
        <v/>
      </c>
    </row>
    <row r="1055">
      <c r="A1055" s="5" t="n">
        <v>46291</v>
      </c>
      <c r="B1055" s="4" t="inlineStr">
        <is>
          <t>North branch</t>
        </is>
      </c>
      <c r="C1055" s="4" t="inlineStr">
        <is>
          <t>North 2</t>
        </is>
      </c>
      <c r="D1055" s="4" t="inlineStr">
        <is>
          <t>Dr Mohamed Adel</t>
        </is>
      </c>
      <c r="E1055" s="4" t="inlineStr">
        <is>
          <t>P-3276</t>
        </is>
      </c>
      <c r="F1055" s="4" t="inlineStr">
        <is>
          <t>New</t>
        </is>
      </c>
      <c r="G1055" s="4" t="inlineStr">
        <is>
          <t>Instagram</t>
        </is>
      </c>
      <c r="H1055" s="4" t="inlineStr">
        <is>
          <t>Laser session, body</t>
        </is>
      </c>
      <c r="I1055" s="9">
        <f>IF($H1055="","",IFERROR(INDEX('Settings'!$J$10:$J$39,MATCH($H1055,'Settings'!$I$10:$I$39,0)),""))</f>
        <v/>
      </c>
      <c r="J1055" s="6" t="n">
        <v>1</v>
      </c>
      <c r="K1055" s="8" t="n">
        <v>1200</v>
      </c>
      <c r="L1055" s="8" t="n"/>
      <c r="M1055" s="14">
        <f>IF($A1055="","",$J1055*$K1055)</f>
        <v/>
      </c>
      <c r="N1055" s="14">
        <f>IF($A1055="","",$M1055-$L1055)</f>
        <v/>
      </c>
      <c r="O1055" s="4" t="inlineStr">
        <is>
          <t>Insurance</t>
        </is>
      </c>
      <c r="P1055" s="15">
        <f>IF($A1055="","",DATE(YEAR($A1055),MONTH($A1055),1))</f>
        <v/>
      </c>
      <c r="Q1055" s="16">
        <f>IF($H1055="","",$J1055*IFERROR(INDEX('Settings'!$L$10:$L$39,MATCH($H1055,'Settings'!$I$10:$I$39,0)),0))</f>
        <v/>
      </c>
      <c r="R1055" s="17">
        <f>IF($A1055="","",$A1055-WEEKDAY($A1055,2)+1)</f>
        <v/>
      </c>
    </row>
    <row r="1056">
      <c r="A1056" s="5" t="n">
        <v>46291</v>
      </c>
      <c r="B1056" s="4" t="inlineStr">
        <is>
          <t>North branch</t>
        </is>
      </c>
      <c r="C1056" s="4" t="inlineStr">
        <is>
          <t>North 2</t>
        </is>
      </c>
      <c r="D1056" s="4" t="inlineStr">
        <is>
          <t>Dr Layla Al Qahtani</t>
        </is>
      </c>
      <c r="E1056" s="4" t="inlineStr">
        <is>
          <t>P-3266</t>
        </is>
      </c>
      <c r="F1056" s="4" t="inlineStr">
        <is>
          <t>Returning</t>
        </is>
      </c>
      <c r="G1056" s="4" t="inlineStr">
        <is>
          <t>Instagram</t>
        </is>
      </c>
      <c r="H1056" s="4" t="inlineStr">
        <is>
          <t>Follow-up visit</t>
        </is>
      </c>
      <c r="I1056" s="9">
        <f>IF($H1056="","",IFERROR(INDEX('Settings'!$J$10:$J$39,MATCH($H1056,'Settings'!$I$10:$I$39,0)),""))</f>
        <v/>
      </c>
      <c r="J1056" s="6" t="n">
        <v>1</v>
      </c>
      <c r="K1056" s="8" t="n">
        <v>150</v>
      </c>
      <c r="L1056" s="8" t="n"/>
      <c r="M1056" s="14">
        <f>IF($A1056="","",$J1056*$K1056)</f>
        <v/>
      </c>
      <c r="N1056" s="14">
        <f>IF($A1056="","",$M1056-$L1056)</f>
        <v/>
      </c>
      <c r="O1056" s="4" t="inlineStr">
        <is>
          <t>Payment link</t>
        </is>
      </c>
      <c r="P1056" s="15">
        <f>IF($A1056="","",DATE(YEAR($A1056),MONTH($A1056),1))</f>
        <v/>
      </c>
      <c r="Q1056" s="16">
        <f>IF($H1056="","",$J1056*IFERROR(INDEX('Settings'!$L$10:$L$39,MATCH($H1056,'Settings'!$I$10:$I$39,0)),0))</f>
        <v/>
      </c>
      <c r="R1056" s="17">
        <f>IF($A1056="","",$A1056-WEEKDAY($A1056,2)+1)</f>
        <v/>
      </c>
    </row>
    <row r="1057">
      <c r="A1057" s="5" t="n">
        <v>46292</v>
      </c>
      <c r="B1057" s="4" t="inlineStr">
        <is>
          <t>Main branch</t>
        </is>
      </c>
      <c r="C1057" s="4" t="inlineStr">
        <is>
          <t>Main 2</t>
        </is>
      </c>
      <c r="D1057" s="4" t="inlineStr">
        <is>
          <t>Dr Sara Al Harbi</t>
        </is>
      </c>
      <c r="E1057" s="4" t="inlineStr">
        <is>
          <t>P-2691</t>
        </is>
      </c>
      <c r="F1057" s="4" t="inlineStr">
        <is>
          <t>Returning</t>
        </is>
      </c>
      <c r="G1057" s="4" t="inlineStr">
        <is>
          <t>Referral</t>
        </is>
      </c>
      <c r="H1057" s="4" t="inlineStr">
        <is>
          <t>Skin tag removal</t>
        </is>
      </c>
      <c r="I1057" s="9">
        <f>IF($H1057="","",IFERROR(INDEX('Settings'!$J$10:$J$39,MATCH($H1057,'Settings'!$I$10:$I$39,0)),""))</f>
        <v/>
      </c>
      <c r="J1057" s="6" t="n">
        <v>1</v>
      </c>
      <c r="K1057" s="8" t="n">
        <v>500</v>
      </c>
      <c r="L1057" s="8" t="n"/>
      <c r="M1057" s="14">
        <f>IF($A1057="","",$J1057*$K1057)</f>
        <v/>
      </c>
      <c r="N1057" s="14">
        <f>IF($A1057="","",$M1057-$L1057)</f>
        <v/>
      </c>
      <c r="O1057" s="4" t="inlineStr">
        <is>
          <t>Insurance</t>
        </is>
      </c>
      <c r="P1057" s="15">
        <f>IF($A1057="","",DATE(YEAR($A1057),MONTH($A1057),1))</f>
        <v/>
      </c>
      <c r="Q1057" s="16">
        <f>IF($H1057="","",$J1057*IFERROR(INDEX('Settings'!$L$10:$L$39,MATCH($H1057,'Settings'!$I$10:$I$39,0)),0))</f>
        <v/>
      </c>
      <c r="R1057" s="17">
        <f>IF($A1057="","",$A1057-WEEKDAY($A1057,2)+1)</f>
        <v/>
      </c>
    </row>
    <row r="1058">
      <c r="A1058" s="5" t="n">
        <v>46292</v>
      </c>
      <c r="B1058" s="4" t="inlineStr">
        <is>
          <t>Main branch</t>
        </is>
      </c>
      <c r="C1058" s="4" t="inlineStr">
        <is>
          <t>Main 3</t>
        </is>
      </c>
      <c r="D1058" s="4" t="inlineStr">
        <is>
          <t>Dr Ahmed Mansour</t>
        </is>
      </c>
      <c r="E1058" s="4" t="inlineStr">
        <is>
          <t>P-3489</t>
        </is>
      </c>
      <c r="F1058" s="4" t="inlineStr">
        <is>
          <t>Returning</t>
        </is>
      </c>
      <c r="G1058" s="4" t="inlineStr">
        <is>
          <t>WhatsApp</t>
        </is>
      </c>
      <c r="H1058" s="4" t="inlineStr">
        <is>
          <t>Sunscreen cream</t>
        </is>
      </c>
      <c r="I1058" s="9">
        <f>IF($H1058="","",IFERROR(INDEX('Settings'!$J$10:$J$39,MATCH($H1058,'Settings'!$I$10:$I$39,0)),""))</f>
        <v/>
      </c>
      <c r="J1058" s="6" t="n">
        <v>1</v>
      </c>
      <c r="K1058" s="8" t="n">
        <v>120</v>
      </c>
      <c r="L1058" s="8" t="n"/>
      <c r="M1058" s="14">
        <f>IF($A1058="","",$J1058*$K1058)</f>
        <v/>
      </c>
      <c r="N1058" s="14">
        <f>IF($A1058="","",$M1058-$L1058)</f>
        <v/>
      </c>
      <c r="O1058" s="4" t="inlineStr">
        <is>
          <t>Cash</t>
        </is>
      </c>
      <c r="P1058" s="15">
        <f>IF($A1058="","",DATE(YEAR($A1058),MONTH($A1058),1))</f>
        <v/>
      </c>
      <c r="Q1058" s="16">
        <f>IF($H1058="","",$J1058*IFERROR(INDEX('Settings'!$L$10:$L$39,MATCH($H1058,'Settings'!$I$10:$I$39,0)),0))</f>
        <v/>
      </c>
      <c r="R1058" s="17">
        <f>IF($A1058="","",$A1058-WEEKDAY($A1058,2)+1)</f>
        <v/>
      </c>
    </row>
    <row r="1059">
      <c r="A1059" s="5" t="n">
        <v>46292</v>
      </c>
      <c r="B1059" s="4" t="inlineStr">
        <is>
          <t>Main branch</t>
        </is>
      </c>
      <c r="C1059" s="4" t="inlineStr">
        <is>
          <t>Main 3</t>
        </is>
      </c>
      <c r="D1059" s="4" t="inlineStr">
        <is>
          <t>Dr Sara Al Harbi</t>
        </is>
      </c>
      <c r="E1059" s="4" t="inlineStr">
        <is>
          <t>P-2878</t>
        </is>
      </c>
      <c r="F1059" s="4" t="inlineStr">
        <is>
          <t>Returning</t>
        </is>
      </c>
      <c r="G1059" s="4" t="inlineStr">
        <is>
          <t>Referral</t>
        </is>
      </c>
      <c r="H1059" s="4" t="inlineStr">
        <is>
          <t>Laser session, face</t>
        </is>
      </c>
      <c r="I1059" s="9">
        <f>IF($H1059="","",IFERROR(INDEX('Settings'!$J$10:$J$39,MATCH($H1059,'Settings'!$I$10:$I$39,0)),""))</f>
        <v/>
      </c>
      <c r="J1059" s="6" t="n">
        <v>1</v>
      </c>
      <c r="K1059" s="8" t="n">
        <v>600</v>
      </c>
      <c r="L1059" s="8" t="n">
        <v>120</v>
      </c>
      <c r="M1059" s="14">
        <f>IF($A1059="","",$J1059*$K1059)</f>
        <v/>
      </c>
      <c r="N1059" s="14">
        <f>IF($A1059="","",$M1059-$L1059)</f>
        <v/>
      </c>
      <c r="O1059" s="4" t="inlineStr">
        <is>
          <t>Cash</t>
        </is>
      </c>
      <c r="P1059" s="15">
        <f>IF($A1059="","",DATE(YEAR($A1059),MONTH($A1059),1))</f>
        <v/>
      </c>
      <c r="Q1059" s="16">
        <f>IF($H1059="","",$J1059*IFERROR(INDEX('Settings'!$L$10:$L$39,MATCH($H1059,'Settings'!$I$10:$I$39,0)),0))</f>
        <v/>
      </c>
      <c r="R1059" s="17">
        <f>IF($A1059="","",$A1059-WEEKDAY($A1059,2)+1)</f>
        <v/>
      </c>
    </row>
    <row r="1060">
      <c r="A1060" s="5" t="n">
        <v>46292</v>
      </c>
      <c r="B1060" s="4" t="inlineStr">
        <is>
          <t>Main branch</t>
        </is>
      </c>
      <c r="C1060" s="4" t="inlineStr">
        <is>
          <t>Main 3</t>
        </is>
      </c>
      <c r="D1060" s="4" t="inlineStr">
        <is>
          <t>Dr Noura Al Subaie</t>
        </is>
      </c>
      <c r="E1060" s="4" t="inlineStr">
        <is>
          <t>P-2870</t>
        </is>
      </c>
      <c r="F1060" s="4" t="inlineStr">
        <is>
          <t>Returning</t>
        </is>
      </c>
      <c r="G1060" s="4" t="inlineStr">
        <is>
          <t>Referral</t>
        </is>
      </c>
      <c r="H1060" s="4" t="inlineStr">
        <is>
          <t>Vitamin C serum</t>
        </is>
      </c>
      <c r="I1060" s="9">
        <f>IF($H1060="","",IFERROR(INDEX('Settings'!$J$10:$J$39,MATCH($H1060,'Settings'!$I$10:$I$39,0)),""))</f>
        <v/>
      </c>
      <c r="J1060" s="6" t="n">
        <v>1</v>
      </c>
      <c r="K1060" s="8" t="n">
        <v>220</v>
      </c>
      <c r="L1060" s="8" t="n"/>
      <c r="M1060" s="14">
        <f>IF($A1060="","",$J1060*$K1060)</f>
        <v/>
      </c>
      <c r="N1060" s="14">
        <f>IF($A1060="","",$M1060-$L1060)</f>
        <v/>
      </c>
      <c r="O1060" s="4" t="inlineStr">
        <is>
          <t>Insurance</t>
        </is>
      </c>
      <c r="P1060" s="15">
        <f>IF($A1060="","",DATE(YEAR($A1060),MONTH($A1060),1))</f>
        <v/>
      </c>
      <c r="Q1060" s="16">
        <f>IF($H1060="","",$J1060*IFERROR(INDEX('Settings'!$L$10:$L$39,MATCH($H1060,'Settings'!$I$10:$I$39,0)),0))</f>
        <v/>
      </c>
      <c r="R1060" s="17">
        <f>IF($A1060="","",$A1060-WEEKDAY($A1060,2)+1)</f>
        <v/>
      </c>
    </row>
    <row r="1061">
      <c r="A1061" s="5" t="n">
        <v>46292</v>
      </c>
      <c r="B1061" s="4" t="inlineStr">
        <is>
          <t>Main branch</t>
        </is>
      </c>
      <c r="C1061" s="4" t="inlineStr">
        <is>
          <t>Main 3</t>
        </is>
      </c>
      <c r="D1061" s="4" t="inlineStr">
        <is>
          <t>Dr Sara Al Harbi</t>
        </is>
      </c>
      <c r="E1061" s="4" t="inlineStr">
        <is>
          <t>P-2368</t>
        </is>
      </c>
      <c r="F1061" s="4" t="inlineStr">
        <is>
          <t>Returning</t>
        </is>
      </c>
      <c r="G1061" s="4" t="inlineStr">
        <is>
          <t>Referral</t>
        </is>
      </c>
      <c r="H1061" s="4" t="inlineStr">
        <is>
          <t>Laser session, face</t>
        </is>
      </c>
      <c r="I1061" s="9">
        <f>IF($H1061="","",IFERROR(INDEX('Settings'!$J$10:$J$39,MATCH($H1061,'Settings'!$I$10:$I$39,0)),""))</f>
        <v/>
      </c>
      <c r="J1061" s="6" t="n">
        <v>1</v>
      </c>
      <c r="K1061" s="8" t="n">
        <v>600</v>
      </c>
      <c r="L1061" s="8" t="n">
        <v>120</v>
      </c>
      <c r="M1061" s="14">
        <f>IF($A1061="","",$J1061*$K1061)</f>
        <v/>
      </c>
      <c r="N1061" s="14">
        <f>IF($A1061="","",$M1061-$L1061)</f>
        <v/>
      </c>
      <c r="O1061" s="4" t="inlineStr">
        <is>
          <t>Card</t>
        </is>
      </c>
      <c r="P1061" s="15">
        <f>IF($A1061="","",DATE(YEAR($A1061),MONTH($A1061),1))</f>
        <v/>
      </c>
      <c r="Q1061" s="16">
        <f>IF($H1061="","",$J1061*IFERROR(INDEX('Settings'!$L$10:$L$39,MATCH($H1061,'Settings'!$I$10:$I$39,0)),0))</f>
        <v/>
      </c>
      <c r="R1061" s="17">
        <f>IF($A1061="","",$A1061-WEEKDAY($A1061,2)+1)</f>
        <v/>
      </c>
    </row>
    <row r="1062">
      <c r="A1062" s="5" t="n">
        <v>46292</v>
      </c>
      <c r="B1062" s="4" t="inlineStr">
        <is>
          <t>Main branch</t>
        </is>
      </c>
      <c r="C1062" s="4" t="inlineStr">
        <is>
          <t>Main 4</t>
        </is>
      </c>
      <c r="D1062" s="4" t="inlineStr">
        <is>
          <t>Dr Sara Al Harbi</t>
        </is>
      </c>
      <c r="E1062" s="4" t="inlineStr">
        <is>
          <t>P-2815</t>
        </is>
      </c>
      <c r="F1062" s="4" t="inlineStr">
        <is>
          <t>Returning</t>
        </is>
      </c>
      <c r="G1062" s="4" t="inlineStr">
        <is>
          <t>Walk-in</t>
        </is>
      </c>
      <c r="H1062" s="4" t="inlineStr">
        <is>
          <t>Follow-up visit</t>
        </is>
      </c>
      <c r="I1062" s="9">
        <f>IF($H1062="","",IFERROR(INDEX('Settings'!$J$10:$J$39,MATCH($H1062,'Settings'!$I$10:$I$39,0)),""))</f>
        <v/>
      </c>
      <c r="J1062" s="6" t="n">
        <v>1</v>
      </c>
      <c r="K1062" s="8" t="n">
        <v>150</v>
      </c>
      <c r="L1062" s="8" t="n"/>
      <c r="M1062" s="14">
        <f>IF($A1062="","",$J1062*$K1062)</f>
        <v/>
      </c>
      <c r="N1062" s="14">
        <f>IF($A1062="","",$M1062-$L1062)</f>
        <v/>
      </c>
      <c r="O1062" s="4" t="inlineStr">
        <is>
          <t>Payment link</t>
        </is>
      </c>
      <c r="P1062" s="15">
        <f>IF($A1062="","",DATE(YEAR($A1062),MONTH($A1062),1))</f>
        <v/>
      </c>
      <c r="Q1062" s="16">
        <f>IF($H1062="","",$J1062*IFERROR(INDEX('Settings'!$L$10:$L$39,MATCH($H1062,'Settings'!$I$10:$I$39,0)),0))</f>
        <v/>
      </c>
      <c r="R1062" s="17">
        <f>IF($A1062="","",$A1062-WEEKDAY($A1062,2)+1)</f>
        <v/>
      </c>
    </row>
    <row r="1063">
      <c r="A1063" s="5" t="n">
        <v>46292</v>
      </c>
      <c r="B1063" s="4" t="inlineStr">
        <is>
          <t>Main branch</t>
        </is>
      </c>
      <c r="C1063" s="4" t="inlineStr">
        <is>
          <t>Main 4</t>
        </is>
      </c>
      <c r="D1063" s="4" t="inlineStr">
        <is>
          <t>Dr Sara Al Harbi</t>
        </is>
      </c>
      <c r="E1063" s="4" t="inlineStr">
        <is>
          <t>P-2371</t>
        </is>
      </c>
      <c r="F1063" s="4" t="inlineStr">
        <is>
          <t>Returning</t>
        </is>
      </c>
      <c r="G1063" s="4" t="inlineStr">
        <is>
          <t>Walk-in</t>
        </is>
      </c>
      <c r="H1063" s="4" t="inlineStr">
        <is>
          <t>Specialist consultation</t>
        </is>
      </c>
      <c r="I1063" s="9">
        <f>IF($H1063="","",IFERROR(INDEX('Settings'!$J$10:$J$39,MATCH($H1063,'Settings'!$I$10:$I$39,0)),""))</f>
        <v/>
      </c>
      <c r="J1063" s="6" t="n">
        <v>1</v>
      </c>
      <c r="K1063" s="8" t="n">
        <v>350</v>
      </c>
      <c r="L1063" s="8" t="n"/>
      <c r="M1063" s="14">
        <f>IF($A1063="","",$J1063*$K1063)</f>
        <v/>
      </c>
      <c r="N1063" s="14">
        <f>IF($A1063="","",$M1063-$L1063)</f>
        <v/>
      </c>
      <c r="O1063" s="4" t="inlineStr">
        <is>
          <t>Card</t>
        </is>
      </c>
      <c r="P1063" s="15">
        <f>IF($A1063="","",DATE(YEAR($A1063),MONTH($A1063),1))</f>
        <v/>
      </c>
      <c r="Q1063" s="16">
        <f>IF($H1063="","",$J1063*IFERROR(INDEX('Settings'!$L$10:$L$39,MATCH($H1063,'Settings'!$I$10:$I$39,0)),0))</f>
        <v/>
      </c>
      <c r="R1063" s="17">
        <f>IF($A1063="","",$A1063-WEEKDAY($A1063,2)+1)</f>
        <v/>
      </c>
    </row>
    <row r="1064">
      <c r="A1064" s="5" t="n">
        <v>46292</v>
      </c>
      <c r="B1064" s="4" t="inlineStr">
        <is>
          <t>Main branch</t>
        </is>
      </c>
      <c r="C1064" s="4" t="inlineStr">
        <is>
          <t>Main 4</t>
        </is>
      </c>
      <c r="D1064" s="4" t="inlineStr">
        <is>
          <t>Dr Sara Al Harbi</t>
        </is>
      </c>
      <c r="E1064" s="4" t="inlineStr">
        <is>
          <t>P-2675</t>
        </is>
      </c>
      <c r="F1064" s="4" t="inlineStr">
        <is>
          <t>Returning</t>
        </is>
      </c>
      <c r="G1064" s="4" t="inlineStr">
        <is>
          <t>Instagram</t>
        </is>
      </c>
      <c r="H1064" s="4" t="inlineStr">
        <is>
          <t>Facial cleansing</t>
        </is>
      </c>
      <c r="I1064" s="9">
        <f>IF($H1064="","",IFERROR(INDEX('Settings'!$J$10:$J$39,MATCH($H1064,'Settings'!$I$10:$I$39,0)),""))</f>
        <v/>
      </c>
      <c r="J1064" s="6" t="n">
        <v>1</v>
      </c>
      <c r="K1064" s="8" t="n">
        <v>400</v>
      </c>
      <c r="L1064" s="8" t="n">
        <v>80</v>
      </c>
      <c r="M1064" s="14">
        <f>IF($A1064="","",$J1064*$K1064)</f>
        <v/>
      </c>
      <c r="N1064" s="14">
        <f>IF($A1064="","",$M1064-$L1064)</f>
        <v/>
      </c>
      <c r="O1064" s="4" t="inlineStr">
        <is>
          <t>Card</t>
        </is>
      </c>
      <c r="P1064" s="15">
        <f>IF($A1064="","",DATE(YEAR($A1064),MONTH($A1064),1))</f>
        <v/>
      </c>
      <c r="Q1064" s="16">
        <f>IF($H1064="","",$J1064*IFERROR(INDEX('Settings'!$L$10:$L$39,MATCH($H1064,'Settings'!$I$10:$I$39,0)),0))</f>
        <v/>
      </c>
      <c r="R1064" s="17">
        <f>IF($A1064="","",$A1064-WEEKDAY($A1064,2)+1)</f>
        <v/>
      </c>
    </row>
    <row r="1065">
      <c r="A1065" s="5" t="n">
        <v>46292</v>
      </c>
      <c r="B1065" s="4" t="inlineStr">
        <is>
          <t>North branch</t>
        </is>
      </c>
      <c r="C1065" s="4" t="inlineStr">
        <is>
          <t>North 1</t>
        </is>
      </c>
      <c r="D1065" s="4" t="inlineStr">
        <is>
          <t>Dr Khaled Youssef</t>
        </is>
      </c>
      <c r="E1065" s="4" t="inlineStr">
        <is>
          <t>P-2105</t>
        </is>
      </c>
      <c r="F1065" s="4" t="inlineStr">
        <is>
          <t>Returning</t>
        </is>
      </c>
      <c r="G1065" s="4" t="inlineStr">
        <is>
          <t>Google</t>
        </is>
      </c>
      <c r="H1065" s="4" t="inlineStr">
        <is>
          <t>Laser session, face</t>
        </is>
      </c>
      <c r="I1065" s="9">
        <f>IF($H1065="","",IFERROR(INDEX('Settings'!$J$10:$J$39,MATCH($H1065,'Settings'!$I$10:$I$39,0)),""))</f>
        <v/>
      </c>
      <c r="J1065" s="6" t="n">
        <v>1</v>
      </c>
      <c r="K1065" s="8" t="n">
        <v>600</v>
      </c>
      <c r="L1065" s="8" t="n"/>
      <c r="M1065" s="14">
        <f>IF($A1065="","",$J1065*$K1065)</f>
        <v/>
      </c>
      <c r="N1065" s="14">
        <f>IF($A1065="","",$M1065-$L1065)</f>
        <v/>
      </c>
      <c r="O1065" s="4" t="inlineStr">
        <is>
          <t>Cash</t>
        </is>
      </c>
      <c r="P1065" s="15">
        <f>IF($A1065="","",DATE(YEAR($A1065),MONTH($A1065),1))</f>
        <v/>
      </c>
      <c r="Q1065" s="16">
        <f>IF($H1065="","",$J1065*IFERROR(INDEX('Settings'!$L$10:$L$39,MATCH($H1065,'Settings'!$I$10:$I$39,0)),0))</f>
        <v/>
      </c>
      <c r="R1065" s="17">
        <f>IF($A1065="","",$A1065-WEEKDAY($A1065,2)+1)</f>
        <v/>
      </c>
    </row>
    <row r="1066">
      <c r="A1066" s="5" t="n">
        <v>46292</v>
      </c>
      <c r="B1066" s="4" t="inlineStr">
        <is>
          <t>North branch</t>
        </is>
      </c>
      <c r="C1066" s="4" t="inlineStr">
        <is>
          <t>North 2</t>
        </is>
      </c>
      <c r="D1066" s="4" t="inlineStr">
        <is>
          <t>Dr Khaled Youssef</t>
        </is>
      </c>
      <c r="E1066" s="4" t="inlineStr">
        <is>
          <t>P-3237</t>
        </is>
      </c>
      <c r="F1066" s="4" t="inlineStr">
        <is>
          <t>Returning</t>
        </is>
      </c>
      <c r="G1066" s="4" t="inlineStr">
        <is>
          <t>WhatsApp</t>
        </is>
      </c>
      <c r="H1066" s="4" t="inlineStr">
        <is>
          <t>Specialist consultation</t>
        </is>
      </c>
      <c r="I1066" s="9">
        <f>IF($H1066="","",IFERROR(INDEX('Settings'!$J$10:$J$39,MATCH($H1066,'Settings'!$I$10:$I$39,0)),""))</f>
        <v/>
      </c>
      <c r="J1066" s="6" t="n">
        <v>1</v>
      </c>
      <c r="K1066" s="8" t="n">
        <v>350</v>
      </c>
      <c r="L1066" s="8" t="n"/>
      <c r="M1066" s="14">
        <f>IF($A1066="","",$J1066*$K1066)</f>
        <v/>
      </c>
      <c r="N1066" s="14">
        <f>IF($A1066="","",$M1066-$L1066)</f>
        <v/>
      </c>
      <c r="O1066" s="4" t="inlineStr">
        <is>
          <t>Card</t>
        </is>
      </c>
      <c r="P1066" s="15">
        <f>IF($A1066="","",DATE(YEAR($A1066),MONTH($A1066),1))</f>
        <v/>
      </c>
      <c r="Q1066" s="16">
        <f>IF($H1066="","",$J1066*IFERROR(INDEX('Settings'!$L$10:$L$39,MATCH($H1066,'Settings'!$I$10:$I$39,0)),0))</f>
        <v/>
      </c>
      <c r="R1066" s="17">
        <f>IF($A1066="","",$A1066-WEEKDAY($A1066,2)+1)</f>
        <v/>
      </c>
    </row>
    <row r="1067">
      <c r="A1067" s="5" t="n">
        <v>46292</v>
      </c>
      <c r="B1067" s="4" t="inlineStr">
        <is>
          <t>North branch</t>
        </is>
      </c>
      <c r="C1067" s="4" t="inlineStr">
        <is>
          <t>North 2</t>
        </is>
      </c>
      <c r="D1067" s="4" t="inlineStr">
        <is>
          <t>Dr Mohamed Adel</t>
        </is>
      </c>
      <c r="E1067" s="4" t="inlineStr">
        <is>
          <t>P-2896</t>
        </is>
      </c>
      <c r="F1067" s="4" t="inlineStr">
        <is>
          <t>New</t>
        </is>
      </c>
      <c r="G1067" s="4" t="inlineStr">
        <is>
          <t>Walk-in</t>
        </is>
      </c>
      <c r="H1067" s="4" t="inlineStr">
        <is>
          <t>Facial cleansing</t>
        </is>
      </c>
      <c r="I1067" s="9">
        <f>IF($H1067="","",IFERROR(INDEX('Settings'!$J$10:$J$39,MATCH($H1067,'Settings'!$I$10:$I$39,0)),""))</f>
        <v/>
      </c>
      <c r="J1067" s="6" t="n">
        <v>1</v>
      </c>
      <c r="K1067" s="8" t="n">
        <v>400</v>
      </c>
      <c r="L1067" s="8" t="n"/>
      <c r="M1067" s="14">
        <f>IF($A1067="","",$J1067*$K1067)</f>
        <v/>
      </c>
      <c r="N1067" s="14">
        <f>IF($A1067="","",$M1067-$L1067)</f>
        <v/>
      </c>
      <c r="O1067" s="4" t="inlineStr">
        <is>
          <t>Cash</t>
        </is>
      </c>
      <c r="P1067" s="15">
        <f>IF($A1067="","",DATE(YEAR($A1067),MONTH($A1067),1))</f>
        <v/>
      </c>
      <c r="Q1067" s="16">
        <f>IF($H1067="","",$J1067*IFERROR(INDEX('Settings'!$L$10:$L$39,MATCH($H1067,'Settings'!$I$10:$I$39,0)),0))</f>
        <v/>
      </c>
      <c r="R1067" s="17">
        <f>IF($A1067="","",$A1067-WEEKDAY($A1067,2)+1)</f>
        <v/>
      </c>
    </row>
    <row r="1068">
      <c r="A1068" s="5" t="n">
        <v>46292</v>
      </c>
      <c r="B1068" s="4" t="inlineStr">
        <is>
          <t>North branch</t>
        </is>
      </c>
      <c r="C1068" s="4" t="inlineStr">
        <is>
          <t>North 2</t>
        </is>
      </c>
      <c r="D1068" s="4" t="inlineStr">
        <is>
          <t>Dr Khaled Youssef</t>
        </is>
      </c>
      <c r="E1068" s="4" t="inlineStr">
        <is>
          <t>P-3050</t>
        </is>
      </c>
      <c r="F1068" s="4" t="inlineStr">
        <is>
          <t>Returning</t>
        </is>
      </c>
      <c r="G1068" s="4" t="inlineStr">
        <is>
          <t>Referral</t>
        </is>
      </c>
      <c r="H1068" s="4" t="inlineStr">
        <is>
          <t>Facial cleansing</t>
        </is>
      </c>
      <c r="I1068" s="9">
        <f>IF($H1068="","",IFERROR(INDEX('Settings'!$J$10:$J$39,MATCH($H1068,'Settings'!$I$10:$I$39,0)),""))</f>
        <v/>
      </c>
      <c r="J1068" s="6" t="n">
        <v>1</v>
      </c>
      <c r="K1068" s="8" t="n">
        <v>400</v>
      </c>
      <c r="L1068" s="8" t="n"/>
      <c r="M1068" s="14">
        <f>IF($A1068="","",$J1068*$K1068)</f>
        <v/>
      </c>
      <c r="N1068" s="14">
        <f>IF($A1068="","",$M1068-$L1068)</f>
        <v/>
      </c>
      <c r="O1068" s="4" t="inlineStr">
        <is>
          <t>Payment link</t>
        </is>
      </c>
      <c r="P1068" s="15">
        <f>IF($A1068="","",DATE(YEAR($A1068),MONTH($A1068),1))</f>
        <v/>
      </c>
      <c r="Q1068" s="16">
        <f>IF($H1068="","",$J1068*IFERROR(INDEX('Settings'!$L$10:$L$39,MATCH($H1068,'Settings'!$I$10:$I$39,0)),0))</f>
        <v/>
      </c>
      <c r="R1068" s="17">
        <f>IF($A1068="","",$A1068-WEEKDAY($A1068,2)+1)</f>
        <v/>
      </c>
    </row>
    <row r="1069">
      <c r="A1069" s="5" t="n">
        <v>46292</v>
      </c>
      <c r="B1069" s="4" t="inlineStr">
        <is>
          <t>North branch</t>
        </is>
      </c>
      <c r="C1069" s="4" t="inlineStr">
        <is>
          <t>North 2</t>
        </is>
      </c>
      <c r="D1069" s="4" t="inlineStr">
        <is>
          <t>Dr Layla Al Qahtani</t>
        </is>
      </c>
      <c r="E1069" s="4" t="inlineStr">
        <is>
          <t>P-3030</t>
        </is>
      </c>
      <c r="F1069" s="4" t="inlineStr">
        <is>
          <t>Returning</t>
        </is>
      </c>
      <c r="G1069" s="4" t="inlineStr">
        <is>
          <t>Instagram</t>
        </is>
      </c>
      <c r="H1069" s="4" t="inlineStr">
        <is>
          <t>Specialist consultation</t>
        </is>
      </c>
      <c r="I1069" s="9">
        <f>IF($H1069="","",IFERROR(INDEX('Settings'!$J$10:$J$39,MATCH($H1069,'Settings'!$I$10:$I$39,0)),""))</f>
        <v/>
      </c>
      <c r="J1069" s="6" t="n">
        <v>1</v>
      </c>
      <c r="K1069" s="8" t="n">
        <v>350</v>
      </c>
      <c r="L1069" s="8" t="n"/>
      <c r="M1069" s="14">
        <f>IF($A1069="","",$J1069*$K1069)</f>
        <v/>
      </c>
      <c r="N1069" s="14">
        <f>IF($A1069="","",$M1069-$L1069)</f>
        <v/>
      </c>
      <c r="O1069" s="4" t="inlineStr">
        <is>
          <t>Card</t>
        </is>
      </c>
      <c r="P1069" s="15">
        <f>IF($A1069="","",DATE(YEAR($A1069),MONTH($A1069),1))</f>
        <v/>
      </c>
      <c r="Q1069" s="16">
        <f>IF($H1069="","",$J1069*IFERROR(INDEX('Settings'!$L$10:$L$39,MATCH($H1069,'Settings'!$I$10:$I$39,0)),0))</f>
        <v/>
      </c>
      <c r="R1069" s="17">
        <f>IF($A1069="","",$A1069-WEEKDAY($A1069,2)+1)</f>
        <v/>
      </c>
    </row>
    <row r="1070">
      <c r="A1070" s="5" t="n">
        <v>46293</v>
      </c>
      <c r="B1070" s="4" t="inlineStr">
        <is>
          <t>Main branch</t>
        </is>
      </c>
      <c r="C1070" s="4" t="inlineStr">
        <is>
          <t>Main 2</t>
        </is>
      </c>
      <c r="D1070" s="4" t="inlineStr">
        <is>
          <t>Dr Ahmed Mansour</t>
        </is>
      </c>
      <c r="E1070" s="4" t="inlineStr">
        <is>
          <t>P-2567</t>
        </is>
      </c>
      <c r="F1070" s="4" t="inlineStr">
        <is>
          <t>Returning</t>
        </is>
      </c>
      <c r="G1070" s="4" t="inlineStr">
        <is>
          <t>Referral</t>
        </is>
      </c>
      <c r="H1070" s="4" t="inlineStr">
        <is>
          <t>Laser session, face</t>
        </is>
      </c>
      <c r="I1070" s="9">
        <f>IF($H1070="","",IFERROR(INDEX('Settings'!$J$10:$J$39,MATCH($H1070,'Settings'!$I$10:$I$39,0)),""))</f>
        <v/>
      </c>
      <c r="J1070" s="6" t="n">
        <v>1</v>
      </c>
      <c r="K1070" s="8" t="n">
        <v>600</v>
      </c>
      <c r="L1070" s="8" t="n">
        <v>120</v>
      </c>
      <c r="M1070" s="14">
        <f>IF($A1070="","",$J1070*$K1070)</f>
        <v/>
      </c>
      <c r="N1070" s="14">
        <f>IF($A1070="","",$M1070-$L1070)</f>
        <v/>
      </c>
      <c r="O1070" s="4" t="inlineStr">
        <is>
          <t>Card</t>
        </is>
      </c>
      <c r="P1070" s="15">
        <f>IF($A1070="","",DATE(YEAR($A1070),MONTH($A1070),1))</f>
        <v/>
      </c>
      <c r="Q1070" s="16">
        <f>IF($H1070="","",$J1070*IFERROR(INDEX('Settings'!$L$10:$L$39,MATCH($H1070,'Settings'!$I$10:$I$39,0)),0))</f>
        <v/>
      </c>
      <c r="R1070" s="17">
        <f>IF($A1070="","",$A1070-WEEKDAY($A1070,2)+1)</f>
        <v/>
      </c>
    </row>
    <row r="1071">
      <c r="A1071" s="5" t="n">
        <v>46293</v>
      </c>
      <c r="B1071" s="4" t="inlineStr">
        <is>
          <t>Main branch</t>
        </is>
      </c>
      <c r="C1071" s="4" t="inlineStr">
        <is>
          <t>Main 2</t>
        </is>
      </c>
      <c r="D1071" s="4" t="inlineStr">
        <is>
          <t>Dr Ahmed Mansour</t>
        </is>
      </c>
      <c r="E1071" s="4" t="inlineStr">
        <is>
          <t>P-2546</t>
        </is>
      </c>
      <c r="F1071" s="4" t="inlineStr">
        <is>
          <t>Returning</t>
        </is>
      </c>
      <c r="G1071" s="4" t="inlineStr">
        <is>
          <t>WhatsApp</t>
        </is>
      </c>
      <c r="H1071" s="4" t="inlineStr">
        <is>
          <t>Vitamin C serum</t>
        </is>
      </c>
      <c r="I1071" s="9">
        <f>IF($H1071="","",IFERROR(INDEX('Settings'!$J$10:$J$39,MATCH($H1071,'Settings'!$I$10:$I$39,0)),""))</f>
        <v/>
      </c>
      <c r="J1071" s="6" t="n">
        <v>1</v>
      </c>
      <c r="K1071" s="8" t="n">
        <v>220</v>
      </c>
      <c r="L1071" s="8" t="n">
        <v>20</v>
      </c>
      <c r="M1071" s="14">
        <f>IF($A1071="","",$J1071*$K1071)</f>
        <v/>
      </c>
      <c r="N1071" s="14">
        <f>IF($A1071="","",$M1071-$L1071)</f>
        <v/>
      </c>
      <c r="O1071" s="4" t="inlineStr">
        <is>
          <t>Card</t>
        </is>
      </c>
      <c r="P1071" s="15">
        <f>IF($A1071="","",DATE(YEAR($A1071),MONTH($A1071),1))</f>
        <v/>
      </c>
      <c r="Q1071" s="16">
        <f>IF($H1071="","",$J1071*IFERROR(INDEX('Settings'!$L$10:$L$39,MATCH($H1071,'Settings'!$I$10:$I$39,0)),0))</f>
        <v/>
      </c>
      <c r="R1071" s="17">
        <f>IF($A1071="","",$A1071-WEEKDAY($A1071,2)+1)</f>
        <v/>
      </c>
    </row>
    <row r="1072">
      <c r="A1072" s="5" t="n">
        <v>46293</v>
      </c>
      <c r="B1072" s="4" t="inlineStr">
        <is>
          <t>Main branch</t>
        </is>
      </c>
      <c r="C1072" s="4" t="inlineStr">
        <is>
          <t>Main 2</t>
        </is>
      </c>
      <c r="D1072" s="4" t="inlineStr">
        <is>
          <t>Dr Sara Al Harbi</t>
        </is>
      </c>
      <c r="E1072" s="4" t="inlineStr">
        <is>
          <t>P-2721</t>
        </is>
      </c>
      <c r="F1072" s="4" t="inlineStr">
        <is>
          <t>New</t>
        </is>
      </c>
      <c r="G1072" s="4" t="inlineStr">
        <is>
          <t>Referral</t>
        </is>
      </c>
      <c r="H1072" s="4" t="inlineStr">
        <is>
          <t>Vitamin C serum</t>
        </is>
      </c>
      <c r="I1072" s="9">
        <f>IF($H1072="","",IFERROR(INDEX('Settings'!$J$10:$J$39,MATCH($H1072,'Settings'!$I$10:$I$39,0)),""))</f>
        <v/>
      </c>
      <c r="J1072" s="6" t="n">
        <v>2</v>
      </c>
      <c r="K1072" s="8" t="n">
        <v>220</v>
      </c>
      <c r="L1072" s="8" t="n"/>
      <c r="M1072" s="14">
        <f>IF($A1072="","",$J1072*$K1072)</f>
        <v/>
      </c>
      <c r="N1072" s="14">
        <f>IF($A1072="","",$M1072-$L1072)</f>
        <v/>
      </c>
      <c r="O1072" s="4" t="inlineStr">
        <is>
          <t>Cash</t>
        </is>
      </c>
      <c r="P1072" s="15">
        <f>IF($A1072="","",DATE(YEAR($A1072),MONTH($A1072),1))</f>
        <v/>
      </c>
      <c r="Q1072" s="16">
        <f>IF($H1072="","",$J1072*IFERROR(INDEX('Settings'!$L$10:$L$39,MATCH($H1072,'Settings'!$I$10:$I$39,0)),0))</f>
        <v/>
      </c>
      <c r="R1072" s="17">
        <f>IF($A1072="","",$A1072-WEEKDAY($A1072,2)+1)</f>
        <v/>
      </c>
    </row>
    <row r="1073">
      <c r="A1073" s="5" t="n">
        <v>46293</v>
      </c>
      <c r="B1073" s="4" t="inlineStr">
        <is>
          <t>Main branch</t>
        </is>
      </c>
      <c r="C1073" s="4" t="inlineStr">
        <is>
          <t>Main 2</t>
        </is>
      </c>
      <c r="D1073" s="4" t="inlineStr">
        <is>
          <t>Dr Sara Al Harbi</t>
        </is>
      </c>
      <c r="E1073" s="4" t="inlineStr">
        <is>
          <t>P-2486</t>
        </is>
      </c>
      <c r="F1073" s="4" t="inlineStr">
        <is>
          <t>New</t>
        </is>
      </c>
      <c r="G1073" s="4" t="inlineStr">
        <is>
          <t>Instagram</t>
        </is>
      </c>
      <c r="H1073" s="4" t="inlineStr">
        <is>
          <t>Physiotherapy session</t>
        </is>
      </c>
      <c r="I1073" s="9">
        <f>IF($H1073="","",IFERROR(INDEX('Settings'!$J$10:$J$39,MATCH($H1073,'Settings'!$I$10:$I$39,0)),""))</f>
        <v/>
      </c>
      <c r="J1073" s="6" t="n">
        <v>1</v>
      </c>
      <c r="K1073" s="8" t="n">
        <v>300</v>
      </c>
      <c r="L1073" s="8" t="n">
        <v>60</v>
      </c>
      <c r="M1073" s="14">
        <f>IF($A1073="","",$J1073*$K1073)</f>
        <v/>
      </c>
      <c r="N1073" s="14">
        <f>IF($A1073="","",$M1073-$L1073)</f>
        <v/>
      </c>
      <c r="O1073" s="4" t="inlineStr">
        <is>
          <t>Cash</t>
        </is>
      </c>
      <c r="P1073" s="15">
        <f>IF($A1073="","",DATE(YEAR($A1073),MONTH($A1073),1))</f>
        <v/>
      </c>
      <c r="Q1073" s="16">
        <f>IF($H1073="","",$J1073*IFERROR(INDEX('Settings'!$L$10:$L$39,MATCH($H1073,'Settings'!$I$10:$I$39,0)),0))</f>
        <v/>
      </c>
      <c r="R1073" s="17">
        <f>IF($A1073="","",$A1073-WEEKDAY($A1073,2)+1)</f>
        <v/>
      </c>
    </row>
    <row r="1074">
      <c r="A1074" s="5" t="n">
        <v>46293</v>
      </c>
      <c r="B1074" s="4" t="inlineStr">
        <is>
          <t>Main branch</t>
        </is>
      </c>
      <c r="C1074" s="4" t="inlineStr">
        <is>
          <t>Main 2</t>
        </is>
      </c>
      <c r="D1074" s="4" t="inlineStr">
        <is>
          <t>Dr Sara Al Harbi</t>
        </is>
      </c>
      <c r="E1074" s="4" t="inlineStr">
        <is>
          <t>P-3261</t>
        </is>
      </c>
      <c r="F1074" s="4" t="inlineStr">
        <is>
          <t>Returning</t>
        </is>
      </c>
      <c r="G1074" s="4" t="inlineStr">
        <is>
          <t>Instagram</t>
        </is>
      </c>
      <c r="H1074" s="4" t="inlineStr">
        <is>
          <t>Laser session, body</t>
        </is>
      </c>
      <c r="I1074" s="9">
        <f>IF($H1074="","",IFERROR(INDEX('Settings'!$J$10:$J$39,MATCH($H1074,'Settings'!$I$10:$I$39,0)),""))</f>
        <v/>
      </c>
      <c r="J1074" s="6" t="n">
        <v>1</v>
      </c>
      <c r="K1074" s="8" t="n">
        <v>1200</v>
      </c>
      <c r="L1074" s="8" t="n">
        <v>240</v>
      </c>
      <c r="M1074" s="14">
        <f>IF($A1074="","",$J1074*$K1074)</f>
        <v/>
      </c>
      <c r="N1074" s="14">
        <f>IF($A1074="","",$M1074-$L1074)</f>
        <v/>
      </c>
      <c r="O1074" s="4" t="inlineStr">
        <is>
          <t>Cash</t>
        </is>
      </c>
      <c r="P1074" s="15">
        <f>IF($A1074="","",DATE(YEAR($A1074),MONTH($A1074),1))</f>
        <v/>
      </c>
      <c r="Q1074" s="16">
        <f>IF($H1074="","",$J1074*IFERROR(INDEX('Settings'!$L$10:$L$39,MATCH($H1074,'Settings'!$I$10:$I$39,0)),0))</f>
        <v/>
      </c>
      <c r="R1074" s="17">
        <f>IF($A1074="","",$A1074-WEEKDAY($A1074,2)+1)</f>
        <v/>
      </c>
    </row>
    <row r="1075">
      <c r="A1075" s="5" t="n">
        <v>46293</v>
      </c>
      <c r="B1075" s="4" t="inlineStr">
        <is>
          <t>Main branch</t>
        </is>
      </c>
      <c r="C1075" s="4" t="inlineStr">
        <is>
          <t>Main 3</t>
        </is>
      </c>
      <c r="D1075" s="4" t="inlineStr">
        <is>
          <t>Dr Sara Al Harbi</t>
        </is>
      </c>
      <c r="E1075" s="4" t="inlineStr">
        <is>
          <t>P-3075</t>
        </is>
      </c>
      <c r="F1075" s="4" t="inlineStr">
        <is>
          <t>Returning</t>
        </is>
      </c>
      <c r="G1075" s="4" t="inlineStr">
        <is>
          <t>Walk-in</t>
        </is>
      </c>
      <c r="H1075" s="4" t="inlineStr">
        <is>
          <t>Laser session, body</t>
        </is>
      </c>
      <c r="I1075" s="9">
        <f>IF($H1075="","",IFERROR(INDEX('Settings'!$J$10:$J$39,MATCH($H1075,'Settings'!$I$10:$I$39,0)),""))</f>
        <v/>
      </c>
      <c r="J1075" s="6" t="n">
        <v>1</v>
      </c>
      <c r="K1075" s="8" t="n">
        <v>1200</v>
      </c>
      <c r="L1075" s="8" t="n"/>
      <c r="M1075" s="14">
        <f>IF($A1075="","",$J1075*$K1075)</f>
        <v/>
      </c>
      <c r="N1075" s="14">
        <f>IF($A1075="","",$M1075-$L1075)</f>
        <v/>
      </c>
      <c r="O1075" s="4" t="inlineStr">
        <is>
          <t>Insurance</t>
        </is>
      </c>
      <c r="P1075" s="15">
        <f>IF($A1075="","",DATE(YEAR($A1075),MONTH($A1075),1))</f>
        <v/>
      </c>
      <c r="Q1075" s="16">
        <f>IF($H1075="","",$J1075*IFERROR(INDEX('Settings'!$L$10:$L$39,MATCH($H1075,'Settings'!$I$10:$I$39,0)),0))</f>
        <v/>
      </c>
      <c r="R1075" s="17">
        <f>IF($A1075="","",$A1075-WEEKDAY($A1075,2)+1)</f>
        <v/>
      </c>
    </row>
    <row r="1076">
      <c r="A1076" s="5" t="n">
        <v>46293</v>
      </c>
      <c r="B1076" s="4" t="inlineStr">
        <is>
          <t>Main branch</t>
        </is>
      </c>
      <c r="C1076" s="4" t="inlineStr">
        <is>
          <t>Main 3</t>
        </is>
      </c>
      <c r="D1076" s="4" t="inlineStr">
        <is>
          <t>Dr Ahmed Mansour</t>
        </is>
      </c>
      <c r="E1076" s="4" t="inlineStr">
        <is>
          <t>P-2673</t>
        </is>
      </c>
      <c r="F1076" s="4" t="inlineStr">
        <is>
          <t>New</t>
        </is>
      </c>
      <c r="G1076" s="4" t="inlineStr">
        <is>
          <t>Instagram</t>
        </is>
      </c>
      <c r="H1076" s="4" t="inlineStr">
        <is>
          <t>Laser session, face</t>
        </is>
      </c>
      <c r="I1076" s="9">
        <f>IF($H1076="","",IFERROR(INDEX('Settings'!$J$10:$J$39,MATCH($H1076,'Settings'!$I$10:$I$39,0)),""))</f>
        <v/>
      </c>
      <c r="J1076" s="6" t="n">
        <v>1</v>
      </c>
      <c r="K1076" s="8" t="n">
        <v>600</v>
      </c>
      <c r="L1076" s="8" t="n">
        <v>120</v>
      </c>
      <c r="M1076" s="14">
        <f>IF($A1076="","",$J1076*$K1076)</f>
        <v/>
      </c>
      <c r="N1076" s="14">
        <f>IF($A1076="","",$M1076-$L1076)</f>
        <v/>
      </c>
      <c r="O1076" s="4" t="inlineStr">
        <is>
          <t>Cash</t>
        </is>
      </c>
      <c r="P1076" s="15">
        <f>IF($A1076="","",DATE(YEAR($A1076),MONTH($A1076),1))</f>
        <v/>
      </c>
      <c r="Q1076" s="16">
        <f>IF($H1076="","",$J1076*IFERROR(INDEX('Settings'!$L$10:$L$39,MATCH($H1076,'Settings'!$I$10:$I$39,0)),0))</f>
        <v/>
      </c>
      <c r="R1076" s="17">
        <f>IF($A1076="","",$A1076-WEEKDAY($A1076,2)+1)</f>
        <v/>
      </c>
    </row>
    <row r="1077">
      <c r="A1077" s="5" t="n">
        <v>46293</v>
      </c>
      <c r="B1077" s="4" t="inlineStr">
        <is>
          <t>Main branch</t>
        </is>
      </c>
      <c r="C1077" s="4" t="inlineStr">
        <is>
          <t>Main 4</t>
        </is>
      </c>
      <c r="D1077" s="4" t="inlineStr">
        <is>
          <t>Dr Ahmed Mansour</t>
        </is>
      </c>
      <c r="E1077" s="4" t="inlineStr">
        <is>
          <t>P-2222</t>
        </is>
      </c>
      <c r="F1077" s="4" t="inlineStr">
        <is>
          <t>Returning</t>
        </is>
      </c>
      <c r="G1077" s="4" t="inlineStr">
        <is>
          <t>Instagram</t>
        </is>
      </c>
      <c r="H1077" s="4" t="inlineStr">
        <is>
          <t>Specialist consultation</t>
        </is>
      </c>
      <c r="I1077" s="9">
        <f>IF($H1077="","",IFERROR(INDEX('Settings'!$J$10:$J$39,MATCH($H1077,'Settings'!$I$10:$I$39,0)),""))</f>
        <v/>
      </c>
      <c r="J1077" s="6" t="n">
        <v>1</v>
      </c>
      <c r="K1077" s="8" t="n">
        <v>350</v>
      </c>
      <c r="L1077" s="8" t="n"/>
      <c r="M1077" s="14">
        <f>IF($A1077="","",$J1077*$K1077)</f>
        <v/>
      </c>
      <c r="N1077" s="14">
        <f>IF($A1077="","",$M1077-$L1077)</f>
        <v/>
      </c>
      <c r="O1077" s="4" t="inlineStr">
        <is>
          <t>Insurance</t>
        </is>
      </c>
      <c r="P1077" s="15">
        <f>IF($A1077="","",DATE(YEAR($A1077),MONTH($A1077),1))</f>
        <v/>
      </c>
      <c r="Q1077" s="16">
        <f>IF($H1077="","",$J1077*IFERROR(INDEX('Settings'!$L$10:$L$39,MATCH($H1077,'Settings'!$I$10:$I$39,0)),0))</f>
        <v/>
      </c>
      <c r="R1077" s="17">
        <f>IF($A1077="","",$A1077-WEEKDAY($A1077,2)+1)</f>
        <v/>
      </c>
    </row>
    <row r="1078">
      <c r="A1078" s="5" t="n">
        <v>46293</v>
      </c>
      <c r="B1078" s="4" t="inlineStr">
        <is>
          <t>Main branch</t>
        </is>
      </c>
      <c r="C1078" s="4" t="inlineStr">
        <is>
          <t>Main 4</t>
        </is>
      </c>
      <c r="D1078" s="4" t="inlineStr">
        <is>
          <t>Dr Ahmed Mansour</t>
        </is>
      </c>
      <c r="E1078" s="4" t="inlineStr">
        <is>
          <t>P-3258</t>
        </is>
      </c>
      <c r="F1078" s="4" t="inlineStr">
        <is>
          <t>New</t>
        </is>
      </c>
      <c r="G1078" s="4" t="inlineStr">
        <is>
          <t>Referral</t>
        </is>
      </c>
      <c r="H1078" s="4" t="inlineStr">
        <is>
          <t>Vitamin C serum</t>
        </is>
      </c>
      <c r="I1078" s="9">
        <f>IF($H1078="","",IFERROR(INDEX('Settings'!$J$10:$J$39,MATCH($H1078,'Settings'!$I$10:$I$39,0)),""))</f>
        <v/>
      </c>
      <c r="J1078" s="6" t="n">
        <v>2</v>
      </c>
      <c r="K1078" s="8" t="n">
        <v>220</v>
      </c>
      <c r="L1078" s="8" t="n"/>
      <c r="M1078" s="14">
        <f>IF($A1078="","",$J1078*$K1078)</f>
        <v/>
      </c>
      <c r="N1078" s="14">
        <f>IF($A1078="","",$M1078-$L1078)</f>
        <v/>
      </c>
      <c r="O1078" s="4" t="inlineStr">
        <is>
          <t>Insurance</t>
        </is>
      </c>
      <c r="P1078" s="15">
        <f>IF($A1078="","",DATE(YEAR($A1078),MONTH($A1078),1))</f>
        <v/>
      </c>
      <c r="Q1078" s="16">
        <f>IF($H1078="","",$J1078*IFERROR(INDEX('Settings'!$L$10:$L$39,MATCH($H1078,'Settings'!$I$10:$I$39,0)),0))</f>
        <v/>
      </c>
      <c r="R1078" s="17">
        <f>IF($A1078="","",$A1078-WEEKDAY($A1078,2)+1)</f>
        <v/>
      </c>
    </row>
    <row r="1079">
      <c r="A1079" s="5" t="n">
        <v>46293</v>
      </c>
      <c r="B1079" s="4" t="inlineStr">
        <is>
          <t>North branch</t>
        </is>
      </c>
      <c r="C1079" s="4" t="inlineStr">
        <is>
          <t>North 1</t>
        </is>
      </c>
      <c r="D1079" s="4" t="inlineStr">
        <is>
          <t>Dr Khaled Youssef</t>
        </is>
      </c>
      <c r="E1079" s="4" t="inlineStr">
        <is>
          <t>P-3020</t>
        </is>
      </c>
      <c r="F1079" s="4" t="inlineStr">
        <is>
          <t>Returning</t>
        </is>
      </c>
      <c r="G1079" s="4" t="inlineStr">
        <is>
          <t>Instagram</t>
        </is>
      </c>
      <c r="H1079" s="4" t="inlineStr">
        <is>
          <t>Follow-up visit</t>
        </is>
      </c>
      <c r="I1079" s="9">
        <f>IF($H1079="","",IFERROR(INDEX('Settings'!$J$10:$J$39,MATCH($H1079,'Settings'!$I$10:$I$39,0)),""))</f>
        <v/>
      </c>
      <c r="J1079" s="6" t="n">
        <v>1</v>
      </c>
      <c r="K1079" s="8" t="n">
        <v>150</v>
      </c>
      <c r="L1079" s="8" t="n"/>
      <c r="M1079" s="14">
        <f>IF($A1079="","",$J1079*$K1079)</f>
        <v/>
      </c>
      <c r="N1079" s="14">
        <f>IF($A1079="","",$M1079-$L1079)</f>
        <v/>
      </c>
      <c r="O1079" s="4" t="inlineStr">
        <is>
          <t>Insurance</t>
        </is>
      </c>
      <c r="P1079" s="15">
        <f>IF($A1079="","",DATE(YEAR($A1079),MONTH($A1079),1))</f>
        <v/>
      </c>
      <c r="Q1079" s="16">
        <f>IF($H1079="","",$J1079*IFERROR(INDEX('Settings'!$L$10:$L$39,MATCH($H1079,'Settings'!$I$10:$I$39,0)),0))</f>
        <v/>
      </c>
      <c r="R1079" s="17">
        <f>IF($A1079="","",$A1079-WEEKDAY($A1079,2)+1)</f>
        <v/>
      </c>
    </row>
    <row r="1080">
      <c r="A1080" s="5" t="n">
        <v>46293</v>
      </c>
      <c r="B1080" s="4" t="inlineStr">
        <is>
          <t>North branch</t>
        </is>
      </c>
      <c r="C1080" s="4" t="inlineStr">
        <is>
          <t>North 1</t>
        </is>
      </c>
      <c r="D1080" s="4" t="inlineStr">
        <is>
          <t>Dr Mohamed Adel</t>
        </is>
      </c>
      <c r="E1080" s="4" t="inlineStr">
        <is>
          <t>P-3394</t>
        </is>
      </c>
      <c r="F1080" s="4" t="inlineStr">
        <is>
          <t>Returning</t>
        </is>
      </c>
      <c r="G1080" s="4" t="inlineStr">
        <is>
          <t>Referral</t>
        </is>
      </c>
      <c r="H1080" s="4" t="inlineStr">
        <is>
          <t>Filler injection</t>
        </is>
      </c>
      <c r="I1080" s="9">
        <f>IF($H1080="","",IFERROR(INDEX('Settings'!$J$10:$J$39,MATCH($H1080,'Settings'!$I$10:$I$39,0)),""))</f>
        <v/>
      </c>
      <c r="J1080" s="6" t="n">
        <v>1</v>
      </c>
      <c r="K1080" s="8" t="n">
        <v>1800</v>
      </c>
      <c r="L1080" s="8" t="n"/>
      <c r="M1080" s="14">
        <f>IF($A1080="","",$J1080*$K1080)</f>
        <v/>
      </c>
      <c r="N1080" s="14">
        <f>IF($A1080="","",$M1080-$L1080)</f>
        <v/>
      </c>
      <c r="O1080" s="4" t="inlineStr">
        <is>
          <t>Transfer</t>
        </is>
      </c>
      <c r="P1080" s="15">
        <f>IF($A1080="","",DATE(YEAR($A1080),MONTH($A1080),1))</f>
        <v/>
      </c>
      <c r="Q1080" s="16">
        <f>IF($H1080="","",$J1080*IFERROR(INDEX('Settings'!$L$10:$L$39,MATCH($H1080,'Settings'!$I$10:$I$39,0)),0))</f>
        <v/>
      </c>
      <c r="R1080" s="17">
        <f>IF($A1080="","",$A1080-WEEKDAY($A1080,2)+1)</f>
        <v/>
      </c>
    </row>
    <row r="1081">
      <c r="A1081" s="5" t="n">
        <v>46293</v>
      </c>
      <c r="B1081" s="4" t="inlineStr">
        <is>
          <t>North branch</t>
        </is>
      </c>
      <c r="C1081" s="4" t="inlineStr">
        <is>
          <t>North 2</t>
        </is>
      </c>
      <c r="D1081" s="4" t="inlineStr">
        <is>
          <t>Dr Layla Al Qahtani</t>
        </is>
      </c>
      <c r="E1081" s="4" t="inlineStr">
        <is>
          <t>P-2471</t>
        </is>
      </c>
      <c r="F1081" s="4" t="inlineStr">
        <is>
          <t>Returning</t>
        </is>
      </c>
      <c r="G1081" s="4" t="inlineStr">
        <is>
          <t>Google</t>
        </is>
      </c>
      <c r="H1081" s="4" t="inlineStr">
        <is>
          <t>Laser session, face</t>
        </is>
      </c>
      <c r="I1081" s="9">
        <f>IF($H1081="","",IFERROR(INDEX('Settings'!$J$10:$J$39,MATCH($H1081,'Settings'!$I$10:$I$39,0)),""))</f>
        <v/>
      </c>
      <c r="J1081" s="6" t="n">
        <v>1</v>
      </c>
      <c r="K1081" s="8" t="n">
        <v>600</v>
      </c>
      <c r="L1081" s="8" t="n">
        <v>120</v>
      </c>
      <c r="M1081" s="14">
        <f>IF($A1081="","",$J1081*$K1081)</f>
        <v/>
      </c>
      <c r="N1081" s="14">
        <f>IF($A1081="","",$M1081-$L1081)</f>
        <v/>
      </c>
      <c r="O1081" s="4" t="inlineStr">
        <is>
          <t>Cash</t>
        </is>
      </c>
      <c r="P1081" s="15">
        <f>IF($A1081="","",DATE(YEAR($A1081),MONTH($A1081),1))</f>
        <v/>
      </c>
      <c r="Q1081" s="16">
        <f>IF($H1081="","",$J1081*IFERROR(INDEX('Settings'!$L$10:$L$39,MATCH($H1081,'Settings'!$I$10:$I$39,0)),0))</f>
        <v/>
      </c>
      <c r="R1081" s="17">
        <f>IF($A1081="","",$A1081-WEEKDAY($A1081,2)+1)</f>
        <v/>
      </c>
    </row>
    <row r="1082">
      <c r="A1082" s="5" t="n">
        <v>46294</v>
      </c>
      <c r="B1082" s="4" t="inlineStr">
        <is>
          <t>Main branch</t>
        </is>
      </c>
      <c r="C1082" s="4" t="inlineStr">
        <is>
          <t>Main 1</t>
        </is>
      </c>
      <c r="D1082" s="4" t="inlineStr">
        <is>
          <t>Dr Ahmed Mansour</t>
        </is>
      </c>
      <c r="E1082" s="4" t="inlineStr">
        <is>
          <t>P-3221</t>
        </is>
      </c>
      <c r="F1082" s="4" t="inlineStr">
        <is>
          <t>Returning</t>
        </is>
      </c>
      <c r="G1082" s="4" t="inlineStr">
        <is>
          <t>Walk-in</t>
        </is>
      </c>
      <c r="H1082" s="4" t="inlineStr">
        <is>
          <t>Laser session, face</t>
        </is>
      </c>
      <c r="I1082" s="9">
        <f>IF($H1082="","",IFERROR(INDEX('Settings'!$J$10:$J$39,MATCH($H1082,'Settings'!$I$10:$I$39,0)),""))</f>
        <v/>
      </c>
      <c r="J1082" s="6" t="n">
        <v>1</v>
      </c>
      <c r="K1082" s="8" t="n">
        <v>600</v>
      </c>
      <c r="L1082" s="8" t="n"/>
      <c r="M1082" s="14">
        <f>IF($A1082="","",$J1082*$K1082)</f>
        <v/>
      </c>
      <c r="N1082" s="14">
        <f>IF($A1082="","",$M1082-$L1082)</f>
        <v/>
      </c>
      <c r="O1082" s="4" t="inlineStr">
        <is>
          <t>Insurance</t>
        </is>
      </c>
      <c r="P1082" s="15">
        <f>IF($A1082="","",DATE(YEAR($A1082),MONTH($A1082),1))</f>
        <v/>
      </c>
      <c r="Q1082" s="16">
        <f>IF($H1082="","",$J1082*IFERROR(INDEX('Settings'!$L$10:$L$39,MATCH($H1082,'Settings'!$I$10:$I$39,0)),0))</f>
        <v/>
      </c>
      <c r="R1082" s="17">
        <f>IF($A1082="","",$A1082-WEEKDAY($A1082,2)+1)</f>
        <v/>
      </c>
    </row>
    <row r="1083">
      <c r="A1083" s="5" t="n">
        <v>46294</v>
      </c>
      <c r="B1083" s="4" t="inlineStr">
        <is>
          <t>Main branch</t>
        </is>
      </c>
      <c r="C1083" s="4" t="inlineStr">
        <is>
          <t>Main 1</t>
        </is>
      </c>
      <c r="D1083" s="4" t="inlineStr">
        <is>
          <t>Dr Noura Al Subaie</t>
        </is>
      </c>
      <c r="E1083" s="4" t="inlineStr">
        <is>
          <t>P-3162</t>
        </is>
      </c>
      <c r="F1083" s="4" t="inlineStr">
        <is>
          <t>Returning</t>
        </is>
      </c>
      <c r="G1083" s="4" t="inlineStr">
        <is>
          <t>Walk-in</t>
        </is>
      </c>
      <c r="H1083" s="4" t="inlineStr">
        <is>
          <t>Facial cleansing</t>
        </is>
      </c>
      <c r="I1083" s="9">
        <f>IF($H1083="","",IFERROR(INDEX('Settings'!$J$10:$J$39,MATCH($H1083,'Settings'!$I$10:$I$39,0)),""))</f>
        <v/>
      </c>
      <c r="J1083" s="6" t="n">
        <v>1</v>
      </c>
      <c r="K1083" s="8" t="n">
        <v>400</v>
      </c>
      <c r="L1083" s="8" t="n"/>
      <c r="M1083" s="14">
        <f>IF($A1083="","",$J1083*$K1083)</f>
        <v/>
      </c>
      <c r="N1083" s="14">
        <f>IF($A1083="","",$M1083-$L1083)</f>
        <v/>
      </c>
      <c r="O1083" s="4" t="inlineStr">
        <is>
          <t>Card</t>
        </is>
      </c>
      <c r="P1083" s="15">
        <f>IF($A1083="","",DATE(YEAR($A1083),MONTH($A1083),1))</f>
        <v/>
      </c>
      <c r="Q1083" s="16">
        <f>IF($H1083="","",$J1083*IFERROR(INDEX('Settings'!$L$10:$L$39,MATCH($H1083,'Settings'!$I$10:$I$39,0)),0))</f>
        <v/>
      </c>
      <c r="R1083" s="17">
        <f>IF($A1083="","",$A1083-WEEKDAY($A1083,2)+1)</f>
        <v/>
      </c>
    </row>
    <row r="1084">
      <c r="A1084" s="5" t="n">
        <v>46294</v>
      </c>
      <c r="B1084" s="4" t="inlineStr">
        <is>
          <t>Main branch</t>
        </is>
      </c>
      <c r="C1084" s="4" t="inlineStr">
        <is>
          <t>Main 2</t>
        </is>
      </c>
      <c r="D1084" s="4" t="inlineStr">
        <is>
          <t>Dr Sara Al Harbi</t>
        </is>
      </c>
      <c r="E1084" s="4" t="inlineStr">
        <is>
          <t>P-2231</t>
        </is>
      </c>
      <c r="F1084" s="4" t="inlineStr">
        <is>
          <t>New</t>
        </is>
      </c>
      <c r="G1084" s="4" t="inlineStr">
        <is>
          <t>Instagram</t>
        </is>
      </c>
      <c r="H1084" s="4" t="inlineStr">
        <is>
          <t>Specialist consultation</t>
        </is>
      </c>
      <c r="I1084" s="9">
        <f>IF($H1084="","",IFERROR(INDEX('Settings'!$J$10:$J$39,MATCH($H1084,'Settings'!$I$10:$I$39,0)),""))</f>
        <v/>
      </c>
      <c r="J1084" s="6" t="n">
        <v>1</v>
      </c>
      <c r="K1084" s="8" t="n">
        <v>350</v>
      </c>
      <c r="L1084" s="8" t="n"/>
      <c r="M1084" s="14">
        <f>IF($A1084="","",$J1084*$K1084)</f>
        <v/>
      </c>
      <c r="N1084" s="14">
        <f>IF($A1084="","",$M1084-$L1084)</f>
        <v/>
      </c>
      <c r="O1084" s="4" t="inlineStr">
        <is>
          <t>Card</t>
        </is>
      </c>
      <c r="P1084" s="15">
        <f>IF($A1084="","",DATE(YEAR($A1084),MONTH($A1084),1))</f>
        <v/>
      </c>
      <c r="Q1084" s="16">
        <f>IF($H1084="","",$J1084*IFERROR(INDEX('Settings'!$L$10:$L$39,MATCH($H1084,'Settings'!$I$10:$I$39,0)),0))</f>
        <v/>
      </c>
      <c r="R1084" s="17">
        <f>IF($A1084="","",$A1084-WEEKDAY($A1084,2)+1)</f>
        <v/>
      </c>
    </row>
    <row r="1085">
      <c r="A1085" s="5" t="n">
        <v>46294</v>
      </c>
      <c r="B1085" s="4" t="inlineStr">
        <is>
          <t>Main branch</t>
        </is>
      </c>
      <c r="C1085" s="4" t="inlineStr">
        <is>
          <t>Main 3</t>
        </is>
      </c>
      <c r="D1085" s="4" t="inlineStr">
        <is>
          <t>Dr Noura Al Subaie</t>
        </is>
      </c>
      <c r="E1085" s="4" t="inlineStr">
        <is>
          <t>P-3434</t>
        </is>
      </c>
      <c r="F1085" s="4" t="inlineStr">
        <is>
          <t>Returning</t>
        </is>
      </c>
      <c r="G1085" s="4" t="inlineStr">
        <is>
          <t>Walk-in</t>
        </is>
      </c>
      <c r="H1085" s="4" t="inlineStr">
        <is>
          <t>Botulinum toxin</t>
        </is>
      </c>
      <c r="I1085" s="9">
        <f>IF($H1085="","",IFERROR(INDEX('Settings'!$J$10:$J$39,MATCH($H1085,'Settings'!$I$10:$I$39,0)),""))</f>
        <v/>
      </c>
      <c r="J1085" s="6" t="n">
        <v>1</v>
      </c>
      <c r="K1085" s="8" t="n">
        <v>1500</v>
      </c>
      <c r="L1085" s="8" t="n"/>
      <c r="M1085" s="14">
        <f>IF($A1085="","",$J1085*$K1085)</f>
        <v/>
      </c>
      <c r="N1085" s="14">
        <f>IF($A1085="","",$M1085-$L1085)</f>
        <v/>
      </c>
      <c r="O1085" s="4" t="inlineStr">
        <is>
          <t>Payment link</t>
        </is>
      </c>
      <c r="P1085" s="15">
        <f>IF($A1085="","",DATE(YEAR($A1085),MONTH($A1085),1))</f>
        <v/>
      </c>
      <c r="Q1085" s="16">
        <f>IF($H1085="","",$J1085*IFERROR(INDEX('Settings'!$L$10:$L$39,MATCH($H1085,'Settings'!$I$10:$I$39,0)),0))</f>
        <v/>
      </c>
      <c r="R1085" s="17">
        <f>IF($A1085="","",$A1085-WEEKDAY($A1085,2)+1)</f>
        <v/>
      </c>
    </row>
    <row r="1086">
      <c r="A1086" s="5" t="n">
        <v>46294</v>
      </c>
      <c r="B1086" s="4" t="inlineStr">
        <is>
          <t>Main branch</t>
        </is>
      </c>
      <c r="C1086" s="4" t="inlineStr">
        <is>
          <t>Main 3</t>
        </is>
      </c>
      <c r="D1086" s="4" t="inlineStr">
        <is>
          <t>Dr Sara Al Harbi</t>
        </is>
      </c>
      <c r="E1086" s="4" t="inlineStr">
        <is>
          <t>P-3100</t>
        </is>
      </c>
      <c r="F1086" s="4" t="inlineStr">
        <is>
          <t>New</t>
        </is>
      </c>
      <c r="G1086" s="4" t="inlineStr">
        <is>
          <t>Instagram</t>
        </is>
      </c>
      <c r="H1086" s="4" t="inlineStr">
        <is>
          <t>Sunscreen cream</t>
        </is>
      </c>
      <c r="I1086" s="9">
        <f>IF($H1086="","",IFERROR(INDEX('Settings'!$J$10:$J$39,MATCH($H1086,'Settings'!$I$10:$I$39,0)),""))</f>
        <v/>
      </c>
      <c r="J1086" s="6" t="n">
        <v>2</v>
      </c>
      <c r="K1086" s="8" t="n">
        <v>120</v>
      </c>
      <c r="L1086" s="8" t="n"/>
      <c r="M1086" s="14">
        <f>IF($A1086="","",$J1086*$K1086)</f>
        <v/>
      </c>
      <c r="N1086" s="14">
        <f>IF($A1086="","",$M1086-$L1086)</f>
        <v/>
      </c>
      <c r="O1086" s="4" t="inlineStr">
        <is>
          <t>Cash</t>
        </is>
      </c>
      <c r="P1086" s="15">
        <f>IF($A1086="","",DATE(YEAR($A1086),MONTH($A1086),1))</f>
        <v/>
      </c>
      <c r="Q1086" s="16">
        <f>IF($H1086="","",$J1086*IFERROR(INDEX('Settings'!$L$10:$L$39,MATCH($H1086,'Settings'!$I$10:$I$39,0)),0))</f>
        <v/>
      </c>
      <c r="R1086" s="17">
        <f>IF($A1086="","",$A1086-WEEKDAY($A1086,2)+1)</f>
        <v/>
      </c>
    </row>
    <row r="1087">
      <c r="A1087" s="5" t="n">
        <v>46294</v>
      </c>
      <c r="B1087" s="4" t="inlineStr">
        <is>
          <t>North branch</t>
        </is>
      </c>
      <c r="C1087" s="4" t="inlineStr">
        <is>
          <t>North 1</t>
        </is>
      </c>
      <c r="D1087" s="4" t="inlineStr">
        <is>
          <t>Dr Mohamed Adel</t>
        </is>
      </c>
      <c r="E1087" s="4" t="inlineStr">
        <is>
          <t>P-2922</t>
        </is>
      </c>
      <c r="F1087" s="4" t="inlineStr">
        <is>
          <t>Returning</t>
        </is>
      </c>
      <c r="G1087" s="4" t="inlineStr">
        <is>
          <t>Instagram</t>
        </is>
      </c>
      <c r="H1087" s="4" t="inlineStr">
        <is>
          <t>Specialist consultation</t>
        </is>
      </c>
      <c r="I1087" s="9">
        <f>IF($H1087="","",IFERROR(INDEX('Settings'!$J$10:$J$39,MATCH($H1087,'Settings'!$I$10:$I$39,0)),""))</f>
        <v/>
      </c>
      <c r="J1087" s="6" t="n">
        <v>1</v>
      </c>
      <c r="K1087" s="8" t="n">
        <v>350</v>
      </c>
      <c r="L1087" s="8" t="n"/>
      <c r="M1087" s="14">
        <f>IF($A1087="","",$J1087*$K1087)</f>
        <v/>
      </c>
      <c r="N1087" s="14">
        <f>IF($A1087="","",$M1087-$L1087)</f>
        <v/>
      </c>
      <c r="O1087" s="4" t="inlineStr">
        <is>
          <t>Cash</t>
        </is>
      </c>
      <c r="P1087" s="15">
        <f>IF($A1087="","",DATE(YEAR($A1087),MONTH($A1087),1))</f>
        <v/>
      </c>
      <c r="Q1087" s="16">
        <f>IF($H1087="","",$J1087*IFERROR(INDEX('Settings'!$L$10:$L$39,MATCH($H1087,'Settings'!$I$10:$I$39,0)),0))</f>
        <v/>
      </c>
      <c r="R1087" s="17">
        <f>IF($A1087="","",$A1087-WEEKDAY($A1087,2)+1)</f>
        <v/>
      </c>
    </row>
    <row r="1088">
      <c r="A1088" s="5" t="n">
        <v>46294</v>
      </c>
      <c r="B1088" s="4" t="inlineStr">
        <is>
          <t>North branch</t>
        </is>
      </c>
      <c r="C1088" s="4" t="inlineStr">
        <is>
          <t>North 1</t>
        </is>
      </c>
      <c r="D1088" s="4" t="inlineStr">
        <is>
          <t>Dr Khaled Youssef</t>
        </is>
      </c>
      <c r="E1088" s="4" t="inlineStr">
        <is>
          <t>P-2357</t>
        </is>
      </c>
      <c r="F1088" s="4" t="inlineStr">
        <is>
          <t>New</t>
        </is>
      </c>
      <c r="G1088" s="4" t="inlineStr">
        <is>
          <t>Walk-in</t>
        </is>
      </c>
      <c r="H1088" s="4" t="inlineStr">
        <is>
          <t>Botulinum toxin</t>
        </is>
      </c>
      <c r="I1088" s="9">
        <f>IF($H1088="","",IFERROR(INDEX('Settings'!$J$10:$J$39,MATCH($H1088,'Settings'!$I$10:$I$39,0)),""))</f>
        <v/>
      </c>
      <c r="J1088" s="6" t="n">
        <v>1</v>
      </c>
      <c r="K1088" s="8" t="n">
        <v>1500</v>
      </c>
      <c r="L1088" s="8" t="n"/>
      <c r="M1088" s="14">
        <f>IF($A1088="","",$J1088*$K1088)</f>
        <v/>
      </c>
      <c r="N1088" s="14">
        <f>IF($A1088="","",$M1088-$L1088)</f>
        <v/>
      </c>
      <c r="O1088" s="4" t="inlineStr">
        <is>
          <t>Cash</t>
        </is>
      </c>
      <c r="P1088" s="15">
        <f>IF($A1088="","",DATE(YEAR($A1088),MONTH($A1088),1))</f>
        <v/>
      </c>
      <c r="Q1088" s="16">
        <f>IF($H1088="","",$J1088*IFERROR(INDEX('Settings'!$L$10:$L$39,MATCH($H1088,'Settings'!$I$10:$I$39,0)),0))</f>
        <v/>
      </c>
      <c r="R1088" s="17">
        <f>IF($A1088="","",$A1088-WEEKDAY($A1088,2)+1)</f>
        <v/>
      </c>
    </row>
    <row r="1089">
      <c r="A1089" s="5" t="n">
        <v>46294</v>
      </c>
      <c r="B1089" s="4" t="inlineStr">
        <is>
          <t>North branch</t>
        </is>
      </c>
      <c r="C1089" s="4" t="inlineStr">
        <is>
          <t>North 1</t>
        </is>
      </c>
      <c r="D1089" s="4" t="inlineStr">
        <is>
          <t>Dr Mohamed Adel</t>
        </is>
      </c>
      <c r="E1089" s="4" t="inlineStr">
        <is>
          <t>P-3381</t>
        </is>
      </c>
      <c r="F1089" s="4" t="inlineStr">
        <is>
          <t>Returning</t>
        </is>
      </c>
      <c r="G1089" s="4" t="inlineStr">
        <is>
          <t>Google</t>
        </is>
      </c>
      <c r="H1089" s="4" t="inlineStr">
        <is>
          <t>Specialist consultation</t>
        </is>
      </c>
      <c r="I1089" s="9">
        <f>IF($H1089="","",IFERROR(INDEX('Settings'!$J$10:$J$39,MATCH($H1089,'Settings'!$I$10:$I$39,0)),""))</f>
        <v/>
      </c>
      <c r="J1089" s="6" t="n">
        <v>1</v>
      </c>
      <c r="K1089" s="8" t="n">
        <v>350</v>
      </c>
      <c r="L1089" s="8" t="n"/>
      <c r="M1089" s="14">
        <f>IF($A1089="","",$J1089*$K1089)</f>
        <v/>
      </c>
      <c r="N1089" s="14">
        <f>IF($A1089="","",$M1089-$L1089)</f>
        <v/>
      </c>
      <c r="O1089" s="4" t="inlineStr">
        <is>
          <t>Card</t>
        </is>
      </c>
      <c r="P1089" s="15">
        <f>IF($A1089="","",DATE(YEAR($A1089),MONTH($A1089),1))</f>
        <v/>
      </c>
      <c r="Q1089" s="16">
        <f>IF($H1089="","",$J1089*IFERROR(INDEX('Settings'!$L$10:$L$39,MATCH($H1089,'Settings'!$I$10:$I$39,0)),0))</f>
        <v/>
      </c>
      <c r="R1089" s="17">
        <f>IF($A1089="","",$A1089-WEEKDAY($A1089,2)+1)</f>
        <v/>
      </c>
    </row>
    <row r="1090">
      <c r="A1090" s="5" t="n">
        <v>46294</v>
      </c>
      <c r="B1090" s="4" t="inlineStr">
        <is>
          <t>North branch</t>
        </is>
      </c>
      <c r="C1090" s="4" t="inlineStr">
        <is>
          <t>North 1</t>
        </is>
      </c>
      <c r="D1090" s="4" t="inlineStr">
        <is>
          <t>Dr Khaled Youssef</t>
        </is>
      </c>
      <c r="E1090" s="4" t="inlineStr">
        <is>
          <t>P-3248</t>
        </is>
      </c>
      <c r="F1090" s="4" t="inlineStr">
        <is>
          <t>New</t>
        </is>
      </c>
      <c r="G1090" s="4" t="inlineStr">
        <is>
          <t>Instagram</t>
        </is>
      </c>
      <c r="H1090" s="4" t="inlineStr">
        <is>
          <t>Specialist consultation</t>
        </is>
      </c>
      <c r="I1090" s="9">
        <f>IF($H1090="","",IFERROR(INDEX('Settings'!$J$10:$J$39,MATCH($H1090,'Settings'!$I$10:$I$39,0)),""))</f>
        <v/>
      </c>
      <c r="J1090" s="6" t="n">
        <v>1</v>
      </c>
      <c r="K1090" s="8" t="n">
        <v>350</v>
      </c>
      <c r="L1090" s="8" t="n"/>
      <c r="M1090" s="14">
        <f>IF($A1090="","",$J1090*$K1090)</f>
        <v/>
      </c>
      <c r="N1090" s="14">
        <f>IF($A1090="","",$M1090-$L1090)</f>
        <v/>
      </c>
      <c r="O1090" s="4" t="inlineStr">
        <is>
          <t>Card</t>
        </is>
      </c>
      <c r="P1090" s="15">
        <f>IF($A1090="","",DATE(YEAR($A1090),MONTH($A1090),1))</f>
        <v/>
      </c>
      <c r="Q1090" s="16">
        <f>IF($H1090="","",$J1090*IFERROR(INDEX('Settings'!$L$10:$L$39,MATCH($H1090,'Settings'!$I$10:$I$39,0)),0))</f>
        <v/>
      </c>
      <c r="R1090" s="17">
        <f>IF($A1090="","",$A1090-WEEKDAY($A1090,2)+1)</f>
        <v/>
      </c>
    </row>
    <row r="1091">
      <c r="A1091" s="5" t="n">
        <v>46294</v>
      </c>
      <c r="B1091" s="4" t="inlineStr">
        <is>
          <t>North branch</t>
        </is>
      </c>
      <c r="C1091" s="4" t="inlineStr">
        <is>
          <t>North 1</t>
        </is>
      </c>
      <c r="D1091" s="4" t="inlineStr">
        <is>
          <t>Dr Layla Al Qahtani</t>
        </is>
      </c>
      <c r="E1091" s="4" t="inlineStr">
        <is>
          <t>P-2959</t>
        </is>
      </c>
      <c r="F1091" s="4" t="inlineStr">
        <is>
          <t>Returning</t>
        </is>
      </c>
      <c r="G1091" s="4" t="inlineStr">
        <is>
          <t>Referral</t>
        </is>
      </c>
      <c r="H1091" s="4" t="inlineStr">
        <is>
          <t>Laser session, body</t>
        </is>
      </c>
      <c r="I1091" s="9">
        <f>IF($H1091="","",IFERROR(INDEX('Settings'!$J$10:$J$39,MATCH($H1091,'Settings'!$I$10:$I$39,0)),""))</f>
        <v/>
      </c>
      <c r="J1091" s="6" t="n">
        <v>1</v>
      </c>
      <c r="K1091" s="8" t="n">
        <v>1200</v>
      </c>
      <c r="L1091" s="8" t="n">
        <v>240</v>
      </c>
      <c r="M1091" s="14">
        <f>IF($A1091="","",$J1091*$K1091)</f>
        <v/>
      </c>
      <c r="N1091" s="14">
        <f>IF($A1091="","",$M1091-$L1091)</f>
        <v/>
      </c>
      <c r="O1091" s="4" t="inlineStr">
        <is>
          <t>Cash</t>
        </is>
      </c>
      <c r="P1091" s="15">
        <f>IF($A1091="","",DATE(YEAR($A1091),MONTH($A1091),1))</f>
        <v/>
      </c>
      <c r="Q1091" s="16">
        <f>IF($H1091="","",$J1091*IFERROR(INDEX('Settings'!$L$10:$L$39,MATCH($H1091,'Settings'!$I$10:$I$39,0)),0))</f>
        <v/>
      </c>
      <c r="R1091" s="17">
        <f>IF($A1091="","",$A1091-WEEKDAY($A1091,2)+1)</f>
        <v/>
      </c>
    </row>
    <row r="1092">
      <c r="A1092" s="5" t="n">
        <v>46294</v>
      </c>
      <c r="B1092" s="4" t="inlineStr">
        <is>
          <t>North branch</t>
        </is>
      </c>
      <c r="C1092" s="4" t="inlineStr">
        <is>
          <t>North 1</t>
        </is>
      </c>
      <c r="D1092" s="4" t="inlineStr">
        <is>
          <t>Dr Mohamed Adel</t>
        </is>
      </c>
      <c r="E1092" s="4" t="inlineStr">
        <is>
          <t>P-2719</t>
        </is>
      </c>
      <c r="F1092" s="4" t="inlineStr">
        <is>
          <t>Returning</t>
        </is>
      </c>
      <c r="G1092" s="4" t="inlineStr">
        <is>
          <t>Referral</t>
        </is>
      </c>
      <c r="H1092" s="4" t="inlineStr">
        <is>
          <t>Facial cleansing</t>
        </is>
      </c>
      <c r="I1092" s="9">
        <f>IF($H1092="","",IFERROR(INDEX('Settings'!$J$10:$J$39,MATCH($H1092,'Settings'!$I$10:$I$39,0)),""))</f>
        <v/>
      </c>
      <c r="J1092" s="6" t="n">
        <v>1</v>
      </c>
      <c r="K1092" s="8" t="n">
        <v>400</v>
      </c>
      <c r="L1092" s="8" t="n"/>
      <c r="M1092" s="14">
        <f>IF($A1092="","",$J1092*$K1092)</f>
        <v/>
      </c>
      <c r="N1092" s="14">
        <f>IF($A1092="","",$M1092-$L1092)</f>
        <v/>
      </c>
      <c r="O1092" s="4" t="inlineStr">
        <is>
          <t>Card</t>
        </is>
      </c>
      <c r="P1092" s="15">
        <f>IF($A1092="","",DATE(YEAR($A1092),MONTH($A1092),1))</f>
        <v/>
      </c>
      <c r="Q1092" s="16">
        <f>IF($H1092="","",$J1092*IFERROR(INDEX('Settings'!$L$10:$L$39,MATCH($H1092,'Settings'!$I$10:$I$39,0)),0))</f>
        <v/>
      </c>
      <c r="R1092" s="17">
        <f>IF($A1092="","",$A1092-WEEKDAY($A1092,2)+1)</f>
        <v/>
      </c>
    </row>
    <row r="1093">
      <c r="A1093" s="5" t="n">
        <v>46294</v>
      </c>
      <c r="B1093" s="4" t="inlineStr">
        <is>
          <t>North branch</t>
        </is>
      </c>
      <c r="C1093" s="4" t="inlineStr">
        <is>
          <t>North 1</t>
        </is>
      </c>
      <c r="D1093" s="4" t="inlineStr">
        <is>
          <t>Dr Khaled Youssef</t>
        </is>
      </c>
      <c r="E1093" s="4" t="inlineStr">
        <is>
          <t>P-3136</t>
        </is>
      </c>
      <c r="F1093" s="4" t="inlineStr">
        <is>
          <t>Returning</t>
        </is>
      </c>
      <c r="G1093" s="4" t="inlineStr">
        <is>
          <t>Referral</t>
        </is>
      </c>
      <c r="H1093" s="4" t="inlineStr">
        <is>
          <t>Specialist consultation</t>
        </is>
      </c>
      <c r="I1093" s="9">
        <f>IF($H1093="","",IFERROR(INDEX('Settings'!$J$10:$J$39,MATCH($H1093,'Settings'!$I$10:$I$39,0)),""))</f>
        <v/>
      </c>
      <c r="J1093" s="6" t="n">
        <v>1</v>
      </c>
      <c r="K1093" s="8" t="n">
        <v>350</v>
      </c>
      <c r="L1093" s="8" t="n"/>
      <c r="M1093" s="14">
        <f>IF($A1093="","",$J1093*$K1093)</f>
        <v/>
      </c>
      <c r="N1093" s="14">
        <f>IF($A1093="","",$M1093-$L1093)</f>
        <v/>
      </c>
      <c r="O1093" s="4" t="inlineStr">
        <is>
          <t>Card</t>
        </is>
      </c>
      <c r="P1093" s="15">
        <f>IF($A1093="","",DATE(YEAR($A1093),MONTH($A1093),1))</f>
        <v/>
      </c>
      <c r="Q1093" s="16">
        <f>IF($H1093="","",$J1093*IFERROR(INDEX('Settings'!$L$10:$L$39,MATCH($H1093,'Settings'!$I$10:$I$39,0)),0))</f>
        <v/>
      </c>
      <c r="R1093" s="17">
        <f>IF($A1093="","",$A1093-WEEKDAY($A1093,2)+1)</f>
        <v/>
      </c>
    </row>
    <row r="1094">
      <c r="A1094" s="5" t="n">
        <v>46294</v>
      </c>
      <c r="B1094" s="4" t="inlineStr">
        <is>
          <t>North branch</t>
        </is>
      </c>
      <c r="C1094" s="4" t="inlineStr">
        <is>
          <t>North 2</t>
        </is>
      </c>
      <c r="D1094" s="4" t="inlineStr">
        <is>
          <t>Dr Mohamed Adel</t>
        </is>
      </c>
      <c r="E1094" s="4" t="inlineStr">
        <is>
          <t>P-2800</t>
        </is>
      </c>
      <c r="F1094" s="4" t="inlineStr">
        <is>
          <t>Returning</t>
        </is>
      </c>
      <c r="G1094" s="4" t="inlineStr">
        <is>
          <t>Referral</t>
        </is>
      </c>
      <c r="H1094" s="4" t="inlineStr">
        <is>
          <t>Skin tag removal</t>
        </is>
      </c>
      <c r="I1094" s="9">
        <f>IF($H1094="","",IFERROR(INDEX('Settings'!$J$10:$J$39,MATCH($H1094,'Settings'!$I$10:$I$39,0)),""))</f>
        <v/>
      </c>
      <c r="J1094" s="6" t="n">
        <v>1</v>
      </c>
      <c r="K1094" s="8" t="n">
        <v>500</v>
      </c>
      <c r="L1094" s="8" t="n"/>
      <c r="M1094" s="14">
        <f>IF($A1094="","",$J1094*$K1094)</f>
        <v/>
      </c>
      <c r="N1094" s="14">
        <f>IF($A1094="","",$M1094-$L1094)</f>
        <v/>
      </c>
      <c r="O1094" s="4" t="inlineStr">
        <is>
          <t>Card</t>
        </is>
      </c>
      <c r="P1094" s="15">
        <f>IF($A1094="","",DATE(YEAR($A1094),MONTH($A1094),1))</f>
        <v/>
      </c>
      <c r="Q1094" s="16">
        <f>IF($H1094="","",$J1094*IFERROR(INDEX('Settings'!$L$10:$L$39,MATCH($H1094,'Settings'!$I$10:$I$39,0)),0))</f>
        <v/>
      </c>
      <c r="R1094" s="17">
        <f>IF($A1094="","",$A1094-WEEKDAY($A1094,2)+1)</f>
        <v/>
      </c>
    </row>
    <row r="1095">
      <c r="A1095" s="5" t="n">
        <v>46294</v>
      </c>
      <c r="B1095" s="4" t="inlineStr">
        <is>
          <t>North branch</t>
        </is>
      </c>
      <c r="C1095" s="4" t="inlineStr">
        <is>
          <t>North 2</t>
        </is>
      </c>
      <c r="D1095" s="4" t="inlineStr">
        <is>
          <t>Dr Khaled Youssef</t>
        </is>
      </c>
      <c r="E1095" s="4" t="inlineStr">
        <is>
          <t>P-3457</t>
        </is>
      </c>
      <c r="F1095" s="4" t="inlineStr">
        <is>
          <t>New</t>
        </is>
      </c>
      <c r="G1095" s="4" t="inlineStr">
        <is>
          <t>Walk-in</t>
        </is>
      </c>
      <c r="H1095" s="4" t="inlineStr">
        <is>
          <t>Specialist consultation</t>
        </is>
      </c>
      <c r="I1095" s="9">
        <f>IF($H1095="","",IFERROR(INDEX('Settings'!$J$10:$J$39,MATCH($H1095,'Settings'!$I$10:$I$39,0)),""))</f>
        <v/>
      </c>
      <c r="J1095" s="6" t="n">
        <v>1</v>
      </c>
      <c r="K1095" s="8" t="n">
        <v>350</v>
      </c>
      <c r="L1095" s="8" t="n"/>
      <c r="M1095" s="14">
        <f>IF($A1095="","",$J1095*$K1095)</f>
        <v/>
      </c>
      <c r="N1095" s="14">
        <f>IF($A1095="","",$M1095-$L1095)</f>
        <v/>
      </c>
      <c r="O1095" s="4" t="inlineStr">
        <is>
          <t>Payment link</t>
        </is>
      </c>
      <c r="P1095" s="15">
        <f>IF($A1095="","",DATE(YEAR($A1095),MONTH($A1095),1))</f>
        <v/>
      </c>
      <c r="Q1095" s="16">
        <f>IF($H1095="","",$J1095*IFERROR(INDEX('Settings'!$L$10:$L$39,MATCH($H1095,'Settings'!$I$10:$I$39,0)),0))</f>
        <v/>
      </c>
      <c r="R1095" s="17">
        <f>IF($A1095="","",$A1095-WEEKDAY($A1095,2)+1)</f>
        <v/>
      </c>
    </row>
    <row r="1096">
      <c r="A1096" s="5" t="n">
        <v>46294</v>
      </c>
      <c r="B1096" s="4" t="inlineStr">
        <is>
          <t>North branch</t>
        </is>
      </c>
      <c r="C1096" s="4" t="inlineStr">
        <is>
          <t>North 2</t>
        </is>
      </c>
      <c r="D1096" s="4" t="inlineStr">
        <is>
          <t>Dr Mohamed Adel</t>
        </is>
      </c>
      <c r="E1096" s="4" t="inlineStr">
        <is>
          <t>P-2735</t>
        </is>
      </c>
      <c r="F1096" s="4" t="inlineStr">
        <is>
          <t>Returning</t>
        </is>
      </c>
      <c r="G1096" s="4" t="inlineStr">
        <is>
          <t>Walk-in</t>
        </is>
      </c>
      <c r="H1096" s="4" t="inlineStr">
        <is>
          <t>Specialist consultation</t>
        </is>
      </c>
      <c r="I1096" s="9">
        <f>IF($H1096="","",IFERROR(INDEX('Settings'!$J$10:$J$39,MATCH($H1096,'Settings'!$I$10:$I$39,0)),""))</f>
        <v/>
      </c>
      <c r="J1096" s="6" t="n">
        <v>1</v>
      </c>
      <c r="K1096" s="8" t="n">
        <v>350</v>
      </c>
      <c r="L1096" s="8" t="n"/>
      <c r="M1096" s="14">
        <f>IF($A1096="","",$J1096*$K1096)</f>
        <v/>
      </c>
      <c r="N1096" s="14">
        <f>IF($A1096="","",$M1096-$L1096)</f>
        <v/>
      </c>
      <c r="O1096" s="4" t="inlineStr">
        <is>
          <t>Payment link</t>
        </is>
      </c>
      <c r="P1096" s="15">
        <f>IF($A1096="","",DATE(YEAR($A1096),MONTH($A1096),1))</f>
        <v/>
      </c>
      <c r="Q1096" s="16">
        <f>IF($H1096="","",$J1096*IFERROR(INDEX('Settings'!$L$10:$L$39,MATCH($H1096,'Settings'!$I$10:$I$39,0)),0))</f>
        <v/>
      </c>
      <c r="R1096" s="17">
        <f>IF($A1096="","",$A1096-WEEKDAY($A1096,2)+1)</f>
        <v/>
      </c>
    </row>
    <row r="1097">
      <c r="A1097" s="5" t="n">
        <v>46295</v>
      </c>
      <c r="B1097" s="4" t="inlineStr">
        <is>
          <t>Main branch</t>
        </is>
      </c>
      <c r="C1097" s="4" t="inlineStr">
        <is>
          <t>Main 1</t>
        </is>
      </c>
      <c r="D1097" s="4" t="inlineStr">
        <is>
          <t>Dr Ahmed Mansour</t>
        </is>
      </c>
      <c r="E1097" s="4" t="inlineStr">
        <is>
          <t>P-2871</t>
        </is>
      </c>
      <c r="F1097" s="4" t="inlineStr">
        <is>
          <t>Returning</t>
        </is>
      </c>
      <c r="G1097" s="4" t="inlineStr">
        <is>
          <t>Instagram</t>
        </is>
      </c>
      <c r="H1097" s="4" t="inlineStr">
        <is>
          <t>Laser session, face</t>
        </is>
      </c>
      <c r="I1097" s="9">
        <f>IF($H1097="","",IFERROR(INDEX('Settings'!$J$10:$J$39,MATCH($H1097,'Settings'!$I$10:$I$39,0)),""))</f>
        <v/>
      </c>
      <c r="J1097" s="6" t="n">
        <v>1</v>
      </c>
      <c r="K1097" s="8" t="n">
        <v>600</v>
      </c>
      <c r="L1097" s="8" t="n">
        <v>120</v>
      </c>
      <c r="M1097" s="14">
        <f>IF($A1097="","",$J1097*$K1097)</f>
        <v/>
      </c>
      <c r="N1097" s="14">
        <f>IF($A1097="","",$M1097-$L1097)</f>
        <v/>
      </c>
      <c r="O1097" s="4" t="inlineStr">
        <is>
          <t>Payment link</t>
        </is>
      </c>
      <c r="P1097" s="15">
        <f>IF($A1097="","",DATE(YEAR($A1097),MONTH($A1097),1))</f>
        <v/>
      </c>
      <c r="Q1097" s="16">
        <f>IF($H1097="","",$J1097*IFERROR(INDEX('Settings'!$L$10:$L$39,MATCH($H1097,'Settings'!$I$10:$I$39,0)),0))</f>
        <v/>
      </c>
      <c r="R1097" s="17">
        <f>IF($A1097="","",$A1097-WEEKDAY($A1097,2)+1)</f>
        <v/>
      </c>
    </row>
    <row r="1098">
      <c r="A1098" s="5" t="n">
        <v>46295</v>
      </c>
      <c r="B1098" s="4" t="inlineStr">
        <is>
          <t>Main branch</t>
        </is>
      </c>
      <c r="C1098" s="4" t="inlineStr">
        <is>
          <t>Main 2</t>
        </is>
      </c>
      <c r="D1098" s="4" t="inlineStr">
        <is>
          <t>Dr Sara Al Harbi</t>
        </is>
      </c>
      <c r="E1098" s="4" t="inlineStr">
        <is>
          <t>P-2641</t>
        </is>
      </c>
      <c r="F1098" s="4" t="inlineStr">
        <is>
          <t>Returning</t>
        </is>
      </c>
      <c r="G1098" s="4" t="inlineStr">
        <is>
          <t>Walk-in</t>
        </is>
      </c>
      <c r="H1098" s="4" t="inlineStr">
        <is>
          <t>Laser session, face</t>
        </is>
      </c>
      <c r="I1098" s="9">
        <f>IF($H1098="","",IFERROR(INDEX('Settings'!$J$10:$J$39,MATCH($H1098,'Settings'!$I$10:$I$39,0)),""))</f>
        <v/>
      </c>
      <c r="J1098" s="6" t="n">
        <v>1</v>
      </c>
      <c r="K1098" s="8" t="n">
        <v>600</v>
      </c>
      <c r="L1098" s="8" t="n">
        <v>120</v>
      </c>
      <c r="M1098" s="14">
        <f>IF($A1098="","",$J1098*$K1098)</f>
        <v/>
      </c>
      <c r="N1098" s="14">
        <f>IF($A1098="","",$M1098-$L1098)</f>
        <v/>
      </c>
      <c r="O1098" s="4" t="inlineStr">
        <is>
          <t>Insurance</t>
        </is>
      </c>
      <c r="P1098" s="15">
        <f>IF($A1098="","",DATE(YEAR($A1098),MONTH($A1098),1))</f>
        <v/>
      </c>
      <c r="Q1098" s="16">
        <f>IF($H1098="","",$J1098*IFERROR(INDEX('Settings'!$L$10:$L$39,MATCH($H1098,'Settings'!$I$10:$I$39,0)),0))</f>
        <v/>
      </c>
      <c r="R1098" s="17">
        <f>IF($A1098="","",$A1098-WEEKDAY($A1098,2)+1)</f>
        <v/>
      </c>
    </row>
    <row r="1099">
      <c r="A1099" s="5" t="n">
        <v>46295</v>
      </c>
      <c r="B1099" s="4" t="inlineStr">
        <is>
          <t>Main branch</t>
        </is>
      </c>
      <c r="C1099" s="4" t="inlineStr">
        <is>
          <t>Main 3</t>
        </is>
      </c>
      <c r="D1099" s="4" t="inlineStr">
        <is>
          <t>Dr Noura Al Subaie</t>
        </is>
      </c>
      <c r="E1099" s="4" t="inlineStr">
        <is>
          <t>P-2545</t>
        </is>
      </c>
      <c r="F1099" s="4" t="inlineStr">
        <is>
          <t>Returning</t>
        </is>
      </c>
      <c r="G1099" s="4" t="inlineStr">
        <is>
          <t>WhatsApp</t>
        </is>
      </c>
      <c r="H1099" s="4" t="inlineStr">
        <is>
          <t>Chemical peel</t>
        </is>
      </c>
      <c r="I1099" s="9">
        <f>IF($H1099="","",IFERROR(INDEX('Settings'!$J$10:$J$39,MATCH($H1099,'Settings'!$I$10:$I$39,0)),""))</f>
        <v/>
      </c>
      <c r="J1099" s="6" t="n">
        <v>1</v>
      </c>
      <c r="K1099" s="8" t="n">
        <v>800</v>
      </c>
      <c r="L1099" s="8" t="n"/>
      <c r="M1099" s="14">
        <f>IF($A1099="","",$J1099*$K1099)</f>
        <v/>
      </c>
      <c r="N1099" s="14">
        <f>IF($A1099="","",$M1099-$L1099)</f>
        <v/>
      </c>
      <c r="O1099" s="4" t="inlineStr">
        <is>
          <t>Card</t>
        </is>
      </c>
      <c r="P1099" s="15">
        <f>IF($A1099="","",DATE(YEAR($A1099),MONTH($A1099),1))</f>
        <v/>
      </c>
      <c r="Q1099" s="16">
        <f>IF($H1099="","",$J1099*IFERROR(INDEX('Settings'!$L$10:$L$39,MATCH($H1099,'Settings'!$I$10:$I$39,0)),0))</f>
        <v/>
      </c>
      <c r="R1099" s="17">
        <f>IF($A1099="","",$A1099-WEEKDAY($A1099,2)+1)</f>
        <v/>
      </c>
    </row>
    <row r="1100">
      <c r="A1100" s="5" t="n">
        <v>46295</v>
      </c>
      <c r="B1100" s="4" t="inlineStr">
        <is>
          <t>North branch</t>
        </is>
      </c>
      <c r="C1100" s="4" t="inlineStr">
        <is>
          <t>North 1</t>
        </is>
      </c>
      <c r="D1100" s="4" t="inlineStr">
        <is>
          <t>Dr Layla Al Qahtani</t>
        </is>
      </c>
      <c r="E1100" s="4" t="inlineStr">
        <is>
          <t>P-2449</t>
        </is>
      </c>
      <c r="F1100" s="4" t="inlineStr">
        <is>
          <t>Returning</t>
        </is>
      </c>
      <c r="G1100" s="4" t="inlineStr">
        <is>
          <t>Walk-in</t>
        </is>
      </c>
      <c r="H1100" s="4" t="inlineStr">
        <is>
          <t>Follow-up visit</t>
        </is>
      </c>
      <c r="I1100" s="9">
        <f>IF($H1100="","",IFERROR(INDEX('Settings'!$J$10:$J$39,MATCH($H1100,'Settings'!$I$10:$I$39,0)),""))</f>
        <v/>
      </c>
      <c r="J1100" s="6" t="n">
        <v>1</v>
      </c>
      <c r="K1100" s="8" t="n">
        <v>150</v>
      </c>
      <c r="L1100" s="8" t="n"/>
      <c r="M1100" s="14">
        <f>IF($A1100="","",$J1100*$K1100)</f>
        <v/>
      </c>
      <c r="N1100" s="14">
        <f>IF($A1100="","",$M1100-$L1100)</f>
        <v/>
      </c>
      <c r="O1100" s="4" t="inlineStr">
        <is>
          <t>Card</t>
        </is>
      </c>
      <c r="P1100" s="15">
        <f>IF($A1100="","",DATE(YEAR($A1100),MONTH($A1100),1))</f>
        <v/>
      </c>
      <c r="Q1100" s="16">
        <f>IF($H1100="","",$J1100*IFERROR(INDEX('Settings'!$L$10:$L$39,MATCH($H1100,'Settings'!$I$10:$I$39,0)),0))</f>
        <v/>
      </c>
      <c r="R1100" s="17">
        <f>IF($A1100="","",$A1100-WEEKDAY($A1100,2)+1)</f>
        <v/>
      </c>
    </row>
    <row r="1101">
      <c r="A1101" s="5" t="n">
        <v>46295</v>
      </c>
      <c r="B1101" s="4" t="inlineStr">
        <is>
          <t>North branch</t>
        </is>
      </c>
      <c r="C1101" s="4" t="inlineStr">
        <is>
          <t>North 1</t>
        </is>
      </c>
      <c r="D1101" s="4" t="inlineStr">
        <is>
          <t>Dr Khaled Youssef</t>
        </is>
      </c>
      <c r="E1101" s="4" t="inlineStr">
        <is>
          <t>P-2142</t>
        </is>
      </c>
      <c r="F1101" s="4" t="inlineStr">
        <is>
          <t>Returning</t>
        </is>
      </c>
      <c r="G1101" s="4" t="inlineStr">
        <is>
          <t>Google</t>
        </is>
      </c>
      <c r="H1101" s="4" t="inlineStr">
        <is>
          <t>Botulinum toxin</t>
        </is>
      </c>
      <c r="I1101" s="9">
        <f>IF($H1101="","",IFERROR(INDEX('Settings'!$J$10:$J$39,MATCH($H1101,'Settings'!$I$10:$I$39,0)),""))</f>
        <v/>
      </c>
      <c r="J1101" s="6" t="n">
        <v>1</v>
      </c>
      <c r="K1101" s="8" t="n">
        <v>1500</v>
      </c>
      <c r="L1101" s="8" t="n"/>
      <c r="M1101" s="14">
        <f>IF($A1101="","",$J1101*$K1101)</f>
        <v/>
      </c>
      <c r="N1101" s="14">
        <f>IF($A1101="","",$M1101-$L1101)</f>
        <v/>
      </c>
      <c r="O1101" s="4" t="inlineStr">
        <is>
          <t>Card</t>
        </is>
      </c>
      <c r="P1101" s="15">
        <f>IF($A1101="","",DATE(YEAR($A1101),MONTH($A1101),1))</f>
        <v/>
      </c>
      <c r="Q1101" s="16">
        <f>IF($H1101="","",$J1101*IFERROR(INDEX('Settings'!$L$10:$L$39,MATCH($H1101,'Settings'!$I$10:$I$39,0)),0))</f>
        <v/>
      </c>
      <c r="R1101" s="17">
        <f>IF($A1101="","",$A1101-WEEKDAY($A1101,2)+1)</f>
        <v/>
      </c>
    </row>
    <row r="1102">
      <c r="A1102" s="5" t="n">
        <v>46295</v>
      </c>
      <c r="B1102" s="4" t="inlineStr">
        <is>
          <t>North branch</t>
        </is>
      </c>
      <c r="C1102" s="4" t="inlineStr">
        <is>
          <t>North 2</t>
        </is>
      </c>
      <c r="D1102" s="4" t="inlineStr">
        <is>
          <t>Dr Mohamed Adel</t>
        </is>
      </c>
      <c r="E1102" s="4" t="inlineStr">
        <is>
          <t>P-2469</t>
        </is>
      </c>
      <c r="F1102" s="4" t="inlineStr">
        <is>
          <t>New</t>
        </is>
      </c>
      <c r="G1102" s="4" t="inlineStr">
        <is>
          <t>Walk-in</t>
        </is>
      </c>
      <c r="H1102" s="4" t="inlineStr">
        <is>
          <t>Specialist consultation</t>
        </is>
      </c>
      <c r="I1102" s="9">
        <f>IF($H1102="","",IFERROR(INDEX('Settings'!$J$10:$J$39,MATCH($H1102,'Settings'!$I$10:$I$39,0)),""))</f>
        <v/>
      </c>
      <c r="J1102" s="6" t="n">
        <v>1</v>
      </c>
      <c r="K1102" s="8" t="n">
        <v>350</v>
      </c>
      <c r="L1102" s="8" t="n"/>
      <c r="M1102" s="14">
        <f>IF($A1102="","",$J1102*$K1102)</f>
        <v/>
      </c>
      <c r="N1102" s="14">
        <f>IF($A1102="","",$M1102-$L1102)</f>
        <v/>
      </c>
      <c r="O1102" s="4" t="inlineStr">
        <is>
          <t>Cash</t>
        </is>
      </c>
      <c r="P1102" s="15">
        <f>IF($A1102="","",DATE(YEAR($A1102),MONTH($A1102),1))</f>
        <v/>
      </c>
      <c r="Q1102" s="16">
        <f>IF($H1102="","",$J1102*IFERROR(INDEX('Settings'!$L$10:$L$39,MATCH($H1102,'Settings'!$I$10:$I$39,0)),0))</f>
        <v/>
      </c>
      <c r="R1102" s="17">
        <f>IF($A1102="","",$A1102-WEEKDAY($A1102,2)+1)</f>
        <v/>
      </c>
    </row>
    <row r="1103">
      <c r="A1103" s="5" t="n"/>
      <c r="B1103" s="4" t="n"/>
      <c r="C1103" s="4" t="n"/>
      <c r="D1103" s="4" t="n"/>
      <c r="E1103" s="4" t="n"/>
      <c r="F1103" s="4" t="n"/>
      <c r="G1103" s="4" t="n"/>
      <c r="H1103" s="4" t="n"/>
      <c r="I1103" s="9">
        <f>IF($H1103="","",IFERROR(INDEX('Settings'!$J$10:$J$39,MATCH($H1103,'Settings'!$I$10:$I$39,0)),""))</f>
        <v/>
      </c>
      <c r="J1103" s="6" t="n"/>
      <c r="K1103" s="8" t="n"/>
      <c r="L1103" s="8" t="n"/>
      <c r="M1103" s="14">
        <f>IF($A1103="","",$J1103*$K1103)</f>
        <v/>
      </c>
      <c r="N1103" s="14">
        <f>IF($A1103="","",$M1103-$L1103)</f>
        <v/>
      </c>
      <c r="O1103" s="4" t="n"/>
      <c r="P1103" s="15">
        <f>IF($A1103="","",DATE(YEAR($A1103),MONTH($A1103),1))</f>
        <v/>
      </c>
      <c r="Q1103" s="16">
        <f>IF($H1103="","",$J1103*IFERROR(INDEX('Settings'!$L$10:$L$39,MATCH($H1103,'Settings'!$I$10:$I$39,0)),0))</f>
        <v/>
      </c>
      <c r="R1103" s="17">
        <f>IF($A1103="","",$A1103-WEEKDAY($A1103,2)+1)</f>
        <v/>
      </c>
    </row>
    <row r="1104">
      <c r="A1104" s="5" t="n"/>
      <c r="B1104" s="4" t="n"/>
      <c r="C1104" s="4" t="n"/>
      <c r="D1104" s="4" t="n"/>
      <c r="E1104" s="4" t="n"/>
      <c r="F1104" s="4" t="n"/>
      <c r="G1104" s="4" t="n"/>
      <c r="H1104" s="4" t="n"/>
      <c r="I1104" s="9">
        <f>IF($H1104="","",IFERROR(INDEX('Settings'!$J$10:$J$39,MATCH($H1104,'Settings'!$I$10:$I$39,0)),""))</f>
        <v/>
      </c>
      <c r="J1104" s="6" t="n"/>
      <c r="K1104" s="8" t="n"/>
      <c r="L1104" s="8" t="n"/>
      <c r="M1104" s="14">
        <f>IF($A1104="","",$J1104*$K1104)</f>
        <v/>
      </c>
      <c r="N1104" s="14">
        <f>IF($A1104="","",$M1104-$L1104)</f>
        <v/>
      </c>
      <c r="O1104" s="4" t="n"/>
      <c r="P1104" s="15">
        <f>IF($A1104="","",DATE(YEAR($A1104),MONTH($A1104),1))</f>
        <v/>
      </c>
      <c r="Q1104" s="16">
        <f>IF($H1104="","",$J1104*IFERROR(INDEX('Settings'!$L$10:$L$39,MATCH($H1104,'Settings'!$I$10:$I$39,0)),0))</f>
        <v/>
      </c>
      <c r="R1104" s="17">
        <f>IF($A1104="","",$A1104-WEEKDAY($A1104,2)+1)</f>
        <v/>
      </c>
    </row>
    <row r="1105">
      <c r="A1105" s="5" t="n"/>
      <c r="B1105" s="4" t="n"/>
      <c r="C1105" s="4" t="n"/>
      <c r="D1105" s="4" t="n"/>
      <c r="E1105" s="4" t="n"/>
      <c r="F1105" s="4" t="n"/>
      <c r="G1105" s="4" t="n"/>
      <c r="H1105" s="4" t="n"/>
      <c r="I1105" s="9">
        <f>IF($H1105="","",IFERROR(INDEX('Settings'!$J$10:$J$39,MATCH($H1105,'Settings'!$I$10:$I$39,0)),""))</f>
        <v/>
      </c>
      <c r="J1105" s="6" t="n"/>
      <c r="K1105" s="8" t="n"/>
      <c r="L1105" s="8" t="n"/>
      <c r="M1105" s="14">
        <f>IF($A1105="","",$J1105*$K1105)</f>
        <v/>
      </c>
      <c r="N1105" s="14">
        <f>IF($A1105="","",$M1105-$L1105)</f>
        <v/>
      </c>
      <c r="O1105" s="4" t="n"/>
      <c r="P1105" s="15">
        <f>IF($A1105="","",DATE(YEAR($A1105),MONTH($A1105),1))</f>
        <v/>
      </c>
      <c r="Q1105" s="16">
        <f>IF($H1105="","",$J1105*IFERROR(INDEX('Settings'!$L$10:$L$39,MATCH($H1105,'Settings'!$I$10:$I$39,0)),0))</f>
        <v/>
      </c>
      <c r="R1105" s="17">
        <f>IF($A1105="","",$A1105-WEEKDAY($A1105,2)+1)</f>
        <v/>
      </c>
    </row>
    <row r="1106">
      <c r="A1106" s="5" t="n"/>
      <c r="B1106" s="4" t="n"/>
      <c r="C1106" s="4" t="n"/>
      <c r="D1106" s="4" t="n"/>
      <c r="E1106" s="4" t="n"/>
      <c r="F1106" s="4" t="n"/>
      <c r="G1106" s="4" t="n"/>
      <c r="H1106" s="4" t="n"/>
      <c r="I1106" s="9">
        <f>IF($H1106="","",IFERROR(INDEX('Settings'!$J$10:$J$39,MATCH($H1106,'Settings'!$I$10:$I$39,0)),""))</f>
        <v/>
      </c>
      <c r="J1106" s="6" t="n"/>
      <c r="K1106" s="8" t="n"/>
      <c r="L1106" s="8" t="n"/>
      <c r="M1106" s="14">
        <f>IF($A1106="","",$J1106*$K1106)</f>
        <v/>
      </c>
      <c r="N1106" s="14">
        <f>IF($A1106="","",$M1106-$L1106)</f>
        <v/>
      </c>
      <c r="O1106" s="4" t="n"/>
      <c r="P1106" s="15">
        <f>IF($A1106="","",DATE(YEAR($A1106),MONTH($A1106),1))</f>
        <v/>
      </c>
      <c r="Q1106" s="16">
        <f>IF($H1106="","",$J1106*IFERROR(INDEX('Settings'!$L$10:$L$39,MATCH($H1106,'Settings'!$I$10:$I$39,0)),0))</f>
        <v/>
      </c>
      <c r="R1106" s="17">
        <f>IF($A1106="","",$A1106-WEEKDAY($A1106,2)+1)</f>
        <v/>
      </c>
    </row>
    <row r="1107">
      <c r="A1107" s="5" t="n"/>
      <c r="B1107" s="4" t="n"/>
      <c r="C1107" s="4" t="n"/>
      <c r="D1107" s="4" t="n"/>
      <c r="E1107" s="4" t="n"/>
      <c r="F1107" s="4" t="n"/>
      <c r="G1107" s="4" t="n"/>
      <c r="H1107" s="4" t="n"/>
      <c r="I1107" s="9">
        <f>IF($H1107="","",IFERROR(INDEX('Settings'!$J$10:$J$39,MATCH($H1107,'Settings'!$I$10:$I$39,0)),""))</f>
        <v/>
      </c>
      <c r="J1107" s="6" t="n"/>
      <c r="K1107" s="8" t="n"/>
      <c r="L1107" s="8" t="n"/>
      <c r="M1107" s="14">
        <f>IF($A1107="","",$J1107*$K1107)</f>
        <v/>
      </c>
      <c r="N1107" s="14">
        <f>IF($A1107="","",$M1107-$L1107)</f>
        <v/>
      </c>
      <c r="O1107" s="4" t="n"/>
      <c r="P1107" s="15">
        <f>IF($A1107="","",DATE(YEAR($A1107),MONTH($A1107),1))</f>
        <v/>
      </c>
      <c r="Q1107" s="16">
        <f>IF($H1107="","",$J1107*IFERROR(INDEX('Settings'!$L$10:$L$39,MATCH($H1107,'Settings'!$I$10:$I$39,0)),0))</f>
        <v/>
      </c>
      <c r="R1107" s="17">
        <f>IF($A1107="","",$A1107-WEEKDAY($A1107,2)+1)</f>
        <v/>
      </c>
    </row>
    <row r="1108">
      <c r="A1108" s="5" t="n"/>
      <c r="B1108" s="4" t="n"/>
      <c r="C1108" s="4" t="n"/>
      <c r="D1108" s="4" t="n"/>
      <c r="E1108" s="4" t="n"/>
      <c r="F1108" s="4" t="n"/>
      <c r="G1108" s="4" t="n"/>
      <c r="H1108" s="4" t="n"/>
      <c r="I1108" s="9">
        <f>IF($H1108="","",IFERROR(INDEX('Settings'!$J$10:$J$39,MATCH($H1108,'Settings'!$I$10:$I$39,0)),""))</f>
        <v/>
      </c>
      <c r="J1108" s="6" t="n"/>
      <c r="K1108" s="8" t="n"/>
      <c r="L1108" s="8" t="n"/>
      <c r="M1108" s="14">
        <f>IF($A1108="","",$J1108*$K1108)</f>
        <v/>
      </c>
      <c r="N1108" s="14">
        <f>IF($A1108="","",$M1108-$L1108)</f>
        <v/>
      </c>
      <c r="O1108" s="4" t="n"/>
      <c r="P1108" s="15">
        <f>IF($A1108="","",DATE(YEAR($A1108),MONTH($A1108),1))</f>
        <v/>
      </c>
      <c r="Q1108" s="16">
        <f>IF($H1108="","",$J1108*IFERROR(INDEX('Settings'!$L$10:$L$39,MATCH($H1108,'Settings'!$I$10:$I$39,0)),0))</f>
        <v/>
      </c>
      <c r="R1108" s="17">
        <f>IF($A1108="","",$A1108-WEEKDAY($A1108,2)+1)</f>
        <v/>
      </c>
    </row>
    <row r="1109">
      <c r="A1109" s="5" t="n"/>
      <c r="B1109" s="4" t="n"/>
      <c r="C1109" s="4" t="n"/>
      <c r="D1109" s="4" t="n"/>
      <c r="E1109" s="4" t="n"/>
      <c r="F1109" s="4" t="n"/>
      <c r="G1109" s="4" t="n"/>
      <c r="H1109" s="4" t="n"/>
      <c r="I1109" s="9">
        <f>IF($H1109="","",IFERROR(INDEX('Settings'!$J$10:$J$39,MATCH($H1109,'Settings'!$I$10:$I$39,0)),""))</f>
        <v/>
      </c>
      <c r="J1109" s="6" t="n"/>
      <c r="K1109" s="8" t="n"/>
      <c r="L1109" s="8" t="n"/>
      <c r="M1109" s="14">
        <f>IF($A1109="","",$J1109*$K1109)</f>
        <v/>
      </c>
      <c r="N1109" s="14">
        <f>IF($A1109="","",$M1109-$L1109)</f>
        <v/>
      </c>
      <c r="O1109" s="4" t="n"/>
      <c r="P1109" s="15">
        <f>IF($A1109="","",DATE(YEAR($A1109),MONTH($A1109),1))</f>
        <v/>
      </c>
      <c r="Q1109" s="16">
        <f>IF($H1109="","",$J1109*IFERROR(INDEX('Settings'!$L$10:$L$39,MATCH($H1109,'Settings'!$I$10:$I$39,0)),0))</f>
        <v/>
      </c>
      <c r="R1109" s="17">
        <f>IF($A1109="","",$A1109-WEEKDAY($A1109,2)+1)</f>
        <v/>
      </c>
    </row>
    <row r="1110">
      <c r="A1110" s="5" t="n"/>
      <c r="B1110" s="4" t="n"/>
      <c r="C1110" s="4" t="n"/>
      <c r="D1110" s="4" t="n"/>
      <c r="E1110" s="4" t="n"/>
      <c r="F1110" s="4" t="n"/>
      <c r="G1110" s="4" t="n"/>
      <c r="H1110" s="4" t="n"/>
      <c r="I1110" s="9">
        <f>IF($H1110="","",IFERROR(INDEX('Settings'!$J$10:$J$39,MATCH($H1110,'Settings'!$I$10:$I$39,0)),""))</f>
        <v/>
      </c>
      <c r="J1110" s="6" t="n"/>
      <c r="K1110" s="8" t="n"/>
      <c r="L1110" s="8" t="n"/>
      <c r="M1110" s="14">
        <f>IF($A1110="","",$J1110*$K1110)</f>
        <v/>
      </c>
      <c r="N1110" s="14">
        <f>IF($A1110="","",$M1110-$L1110)</f>
        <v/>
      </c>
      <c r="O1110" s="4" t="n"/>
      <c r="P1110" s="15">
        <f>IF($A1110="","",DATE(YEAR($A1110),MONTH($A1110),1))</f>
        <v/>
      </c>
      <c r="Q1110" s="16">
        <f>IF($H1110="","",$J1110*IFERROR(INDEX('Settings'!$L$10:$L$39,MATCH($H1110,'Settings'!$I$10:$I$39,0)),0))</f>
        <v/>
      </c>
      <c r="R1110" s="17">
        <f>IF($A1110="","",$A1110-WEEKDAY($A1110,2)+1)</f>
        <v/>
      </c>
    </row>
    <row r="1111">
      <c r="A1111" s="5" t="n"/>
      <c r="B1111" s="4" t="n"/>
      <c r="C1111" s="4" t="n"/>
      <c r="D1111" s="4" t="n"/>
      <c r="E1111" s="4" t="n"/>
      <c r="F1111" s="4" t="n"/>
      <c r="G1111" s="4" t="n"/>
      <c r="H1111" s="4" t="n"/>
      <c r="I1111" s="9">
        <f>IF($H1111="","",IFERROR(INDEX('Settings'!$J$10:$J$39,MATCH($H1111,'Settings'!$I$10:$I$39,0)),""))</f>
        <v/>
      </c>
      <c r="J1111" s="6" t="n"/>
      <c r="K1111" s="8" t="n"/>
      <c r="L1111" s="8" t="n"/>
      <c r="M1111" s="14">
        <f>IF($A1111="","",$J1111*$K1111)</f>
        <v/>
      </c>
      <c r="N1111" s="14">
        <f>IF($A1111="","",$M1111-$L1111)</f>
        <v/>
      </c>
      <c r="O1111" s="4" t="n"/>
      <c r="P1111" s="15">
        <f>IF($A1111="","",DATE(YEAR($A1111),MONTH($A1111),1))</f>
        <v/>
      </c>
      <c r="Q1111" s="16">
        <f>IF($H1111="","",$J1111*IFERROR(INDEX('Settings'!$L$10:$L$39,MATCH($H1111,'Settings'!$I$10:$I$39,0)),0))</f>
        <v/>
      </c>
      <c r="R1111" s="17">
        <f>IF($A1111="","",$A1111-WEEKDAY($A1111,2)+1)</f>
        <v/>
      </c>
    </row>
    <row r="1112">
      <c r="A1112" s="5" t="n"/>
      <c r="B1112" s="4" t="n"/>
      <c r="C1112" s="4" t="n"/>
      <c r="D1112" s="4" t="n"/>
      <c r="E1112" s="4" t="n"/>
      <c r="F1112" s="4" t="n"/>
      <c r="G1112" s="4" t="n"/>
      <c r="H1112" s="4" t="n"/>
      <c r="I1112" s="9">
        <f>IF($H1112="","",IFERROR(INDEX('Settings'!$J$10:$J$39,MATCH($H1112,'Settings'!$I$10:$I$39,0)),""))</f>
        <v/>
      </c>
      <c r="J1112" s="6" t="n"/>
      <c r="K1112" s="8" t="n"/>
      <c r="L1112" s="8" t="n"/>
      <c r="M1112" s="14">
        <f>IF($A1112="","",$J1112*$K1112)</f>
        <v/>
      </c>
      <c r="N1112" s="14">
        <f>IF($A1112="","",$M1112-$L1112)</f>
        <v/>
      </c>
      <c r="O1112" s="4" t="n"/>
      <c r="P1112" s="15">
        <f>IF($A1112="","",DATE(YEAR($A1112),MONTH($A1112),1))</f>
        <v/>
      </c>
      <c r="Q1112" s="16">
        <f>IF($H1112="","",$J1112*IFERROR(INDEX('Settings'!$L$10:$L$39,MATCH($H1112,'Settings'!$I$10:$I$39,0)),0))</f>
        <v/>
      </c>
      <c r="R1112" s="17">
        <f>IF($A1112="","",$A1112-WEEKDAY($A1112,2)+1)</f>
        <v/>
      </c>
    </row>
    <row r="1113">
      <c r="A1113" s="5" t="n"/>
      <c r="B1113" s="4" t="n"/>
      <c r="C1113" s="4" t="n"/>
      <c r="D1113" s="4" t="n"/>
      <c r="E1113" s="4" t="n"/>
      <c r="F1113" s="4" t="n"/>
      <c r="G1113" s="4" t="n"/>
      <c r="H1113" s="4" t="n"/>
      <c r="I1113" s="9">
        <f>IF($H1113="","",IFERROR(INDEX('Settings'!$J$10:$J$39,MATCH($H1113,'Settings'!$I$10:$I$39,0)),""))</f>
        <v/>
      </c>
      <c r="J1113" s="6" t="n"/>
      <c r="K1113" s="8" t="n"/>
      <c r="L1113" s="8" t="n"/>
      <c r="M1113" s="14">
        <f>IF($A1113="","",$J1113*$K1113)</f>
        <v/>
      </c>
      <c r="N1113" s="14">
        <f>IF($A1113="","",$M1113-$L1113)</f>
        <v/>
      </c>
      <c r="O1113" s="4" t="n"/>
      <c r="P1113" s="15">
        <f>IF($A1113="","",DATE(YEAR($A1113),MONTH($A1113),1))</f>
        <v/>
      </c>
      <c r="Q1113" s="16">
        <f>IF($H1113="","",$J1113*IFERROR(INDEX('Settings'!$L$10:$L$39,MATCH($H1113,'Settings'!$I$10:$I$39,0)),0))</f>
        <v/>
      </c>
      <c r="R1113" s="17">
        <f>IF($A1113="","",$A1113-WEEKDAY($A1113,2)+1)</f>
        <v/>
      </c>
    </row>
    <row r="1114">
      <c r="A1114" s="5" t="n"/>
      <c r="B1114" s="4" t="n"/>
      <c r="C1114" s="4" t="n"/>
      <c r="D1114" s="4" t="n"/>
      <c r="E1114" s="4" t="n"/>
      <c r="F1114" s="4" t="n"/>
      <c r="G1114" s="4" t="n"/>
      <c r="H1114" s="4" t="n"/>
      <c r="I1114" s="9">
        <f>IF($H1114="","",IFERROR(INDEX('Settings'!$J$10:$J$39,MATCH($H1114,'Settings'!$I$10:$I$39,0)),""))</f>
        <v/>
      </c>
      <c r="J1114" s="6" t="n"/>
      <c r="K1114" s="8" t="n"/>
      <c r="L1114" s="8" t="n"/>
      <c r="M1114" s="14">
        <f>IF($A1114="","",$J1114*$K1114)</f>
        <v/>
      </c>
      <c r="N1114" s="14">
        <f>IF($A1114="","",$M1114-$L1114)</f>
        <v/>
      </c>
      <c r="O1114" s="4" t="n"/>
      <c r="P1114" s="15">
        <f>IF($A1114="","",DATE(YEAR($A1114),MONTH($A1114),1))</f>
        <v/>
      </c>
      <c r="Q1114" s="16">
        <f>IF($H1114="","",$J1114*IFERROR(INDEX('Settings'!$L$10:$L$39,MATCH($H1114,'Settings'!$I$10:$I$39,0)),0))</f>
        <v/>
      </c>
      <c r="R1114" s="17">
        <f>IF($A1114="","",$A1114-WEEKDAY($A1114,2)+1)</f>
        <v/>
      </c>
    </row>
    <row r="1115">
      <c r="A1115" s="5" t="n"/>
      <c r="B1115" s="4" t="n"/>
      <c r="C1115" s="4" t="n"/>
      <c r="D1115" s="4" t="n"/>
      <c r="E1115" s="4" t="n"/>
      <c r="F1115" s="4" t="n"/>
      <c r="G1115" s="4" t="n"/>
      <c r="H1115" s="4" t="n"/>
      <c r="I1115" s="9">
        <f>IF($H1115="","",IFERROR(INDEX('Settings'!$J$10:$J$39,MATCH($H1115,'Settings'!$I$10:$I$39,0)),""))</f>
        <v/>
      </c>
      <c r="J1115" s="6" t="n"/>
      <c r="K1115" s="8" t="n"/>
      <c r="L1115" s="8" t="n"/>
      <c r="M1115" s="14">
        <f>IF($A1115="","",$J1115*$K1115)</f>
        <v/>
      </c>
      <c r="N1115" s="14">
        <f>IF($A1115="","",$M1115-$L1115)</f>
        <v/>
      </c>
      <c r="O1115" s="4" t="n"/>
      <c r="P1115" s="15">
        <f>IF($A1115="","",DATE(YEAR($A1115),MONTH($A1115),1))</f>
        <v/>
      </c>
      <c r="Q1115" s="16">
        <f>IF($H1115="","",$J1115*IFERROR(INDEX('Settings'!$L$10:$L$39,MATCH($H1115,'Settings'!$I$10:$I$39,0)),0))</f>
        <v/>
      </c>
      <c r="R1115" s="17">
        <f>IF($A1115="","",$A1115-WEEKDAY($A1115,2)+1)</f>
        <v/>
      </c>
    </row>
    <row r="1116">
      <c r="A1116" s="5" t="n"/>
      <c r="B1116" s="4" t="n"/>
      <c r="C1116" s="4" t="n"/>
      <c r="D1116" s="4" t="n"/>
      <c r="E1116" s="4" t="n"/>
      <c r="F1116" s="4" t="n"/>
      <c r="G1116" s="4" t="n"/>
      <c r="H1116" s="4" t="n"/>
      <c r="I1116" s="9">
        <f>IF($H1116="","",IFERROR(INDEX('Settings'!$J$10:$J$39,MATCH($H1116,'Settings'!$I$10:$I$39,0)),""))</f>
        <v/>
      </c>
      <c r="J1116" s="6" t="n"/>
      <c r="K1116" s="8" t="n"/>
      <c r="L1116" s="8" t="n"/>
      <c r="M1116" s="14">
        <f>IF($A1116="","",$J1116*$K1116)</f>
        <v/>
      </c>
      <c r="N1116" s="14">
        <f>IF($A1116="","",$M1116-$L1116)</f>
        <v/>
      </c>
      <c r="O1116" s="4" t="n"/>
      <c r="P1116" s="15">
        <f>IF($A1116="","",DATE(YEAR($A1116),MONTH($A1116),1))</f>
        <v/>
      </c>
      <c r="Q1116" s="16">
        <f>IF($H1116="","",$J1116*IFERROR(INDEX('Settings'!$L$10:$L$39,MATCH($H1116,'Settings'!$I$10:$I$39,0)),0))</f>
        <v/>
      </c>
      <c r="R1116" s="17">
        <f>IF($A1116="","",$A1116-WEEKDAY($A1116,2)+1)</f>
        <v/>
      </c>
    </row>
    <row r="1117">
      <c r="A1117" s="5" t="n"/>
      <c r="B1117" s="4" t="n"/>
      <c r="C1117" s="4" t="n"/>
      <c r="D1117" s="4" t="n"/>
      <c r="E1117" s="4" t="n"/>
      <c r="F1117" s="4" t="n"/>
      <c r="G1117" s="4" t="n"/>
      <c r="H1117" s="4" t="n"/>
      <c r="I1117" s="9">
        <f>IF($H1117="","",IFERROR(INDEX('Settings'!$J$10:$J$39,MATCH($H1117,'Settings'!$I$10:$I$39,0)),""))</f>
        <v/>
      </c>
      <c r="J1117" s="6" t="n"/>
      <c r="K1117" s="8" t="n"/>
      <c r="L1117" s="8" t="n"/>
      <c r="M1117" s="14">
        <f>IF($A1117="","",$J1117*$K1117)</f>
        <v/>
      </c>
      <c r="N1117" s="14">
        <f>IF($A1117="","",$M1117-$L1117)</f>
        <v/>
      </c>
      <c r="O1117" s="4" t="n"/>
      <c r="P1117" s="15">
        <f>IF($A1117="","",DATE(YEAR($A1117),MONTH($A1117),1))</f>
        <v/>
      </c>
      <c r="Q1117" s="16">
        <f>IF($H1117="","",$J1117*IFERROR(INDEX('Settings'!$L$10:$L$39,MATCH($H1117,'Settings'!$I$10:$I$39,0)),0))</f>
        <v/>
      </c>
      <c r="R1117" s="17">
        <f>IF($A1117="","",$A1117-WEEKDAY($A1117,2)+1)</f>
        <v/>
      </c>
    </row>
    <row r="1118">
      <c r="A1118" s="5" t="n"/>
      <c r="B1118" s="4" t="n"/>
      <c r="C1118" s="4" t="n"/>
      <c r="D1118" s="4" t="n"/>
      <c r="E1118" s="4" t="n"/>
      <c r="F1118" s="4" t="n"/>
      <c r="G1118" s="4" t="n"/>
      <c r="H1118" s="4" t="n"/>
      <c r="I1118" s="9">
        <f>IF($H1118="","",IFERROR(INDEX('Settings'!$J$10:$J$39,MATCH($H1118,'Settings'!$I$10:$I$39,0)),""))</f>
        <v/>
      </c>
      <c r="J1118" s="6" t="n"/>
      <c r="K1118" s="8" t="n"/>
      <c r="L1118" s="8" t="n"/>
      <c r="M1118" s="14">
        <f>IF($A1118="","",$J1118*$K1118)</f>
        <v/>
      </c>
      <c r="N1118" s="14">
        <f>IF($A1118="","",$M1118-$L1118)</f>
        <v/>
      </c>
      <c r="O1118" s="4" t="n"/>
      <c r="P1118" s="15">
        <f>IF($A1118="","",DATE(YEAR($A1118),MONTH($A1118),1))</f>
        <v/>
      </c>
      <c r="Q1118" s="16">
        <f>IF($H1118="","",$J1118*IFERROR(INDEX('Settings'!$L$10:$L$39,MATCH($H1118,'Settings'!$I$10:$I$39,0)),0))</f>
        <v/>
      </c>
      <c r="R1118" s="17">
        <f>IF($A1118="","",$A1118-WEEKDAY($A1118,2)+1)</f>
        <v/>
      </c>
    </row>
    <row r="1119">
      <c r="A1119" s="5" t="n"/>
      <c r="B1119" s="4" t="n"/>
      <c r="C1119" s="4" t="n"/>
      <c r="D1119" s="4" t="n"/>
      <c r="E1119" s="4" t="n"/>
      <c r="F1119" s="4" t="n"/>
      <c r="G1119" s="4" t="n"/>
      <c r="H1119" s="4" t="n"/>
      <c r="I1119" s="9">
        <f>IF($H1119="","",IFERROR(INDEX('Settings'!$J$10:$J$39,MATCH($H1119,'Settings'!$I$10:$I$39,0)),""))</f>
        <v/>
      </c>
      <c r="J1119" s="6" t="n"/>
      <c r="K1119" s="8" t="n"/>
      <c r="L1119" s="8" t="n"/>
      <c r="M1119" s="14">
        <f>IF($A1119="","",$J1119*$K1119)</f>
        <v/>
      </c>
      <c r="N1119" s="14">
        <f>IF($A1119="","",$M1119-$L1119)</f>
        <v/>
      </c>
      <c r="O1119" s="4" t="n"/>
      <c r="P1119" s="15">
        <f>IF($A1119="","",DATE(YEAR($A1119),MONTH($A1119),1))</f>
        <v/>
      </c>
      <c r="Q1119" s="16">
        <f>IF($H1119="","",$J1119*IFERROR(INDEX('Settings'!$L$10:$L$39,MATCH($H1119,'Settings'!$I$10:$I$39,0)),0))</f>
        <v/>
      </c>
      <c r="R1119" s="17">
        <f>IF($A1119="","",$A1119-WEEKDAY($A1119,2)+1)</f>
        <v/>
      </c>
    </row>
    <row r="1120">
      <c r="A1120" s="5" t="n"/>
      <c r="B1120" s="4" t="n"/>
      <c r="C1120" s="4" t="n"/>
      <c r="D1120" s="4" t="n"/>
      <c r="E1120" s="4" t="n"/>
      <c r="F1120" s="4" t="n"/>
      <c r="G1120" s="4" t="n"/>
      <c r="H1120" s="4" t="n"/>
      <c r="I1120" s="9">
        <f>IF($H1120="","",IFERROR(INDEX('Settings'!$J$10:$J$39,MATCH($H1120,'Settings'!$I$10:$I$39,0)),""))</f>
        <v/>
      </c>
      <c r="J1120" s="6" t="n"/>
      <c r="K1120" s="8" t="n"/>
      <c r="L1120" s="8" t="n"/>
      <c r="M1120" s="14">
        <f>IF($A1120="","",$J1120*$K1120)</f>
        <v/>
      </c>
      <c r="N1120" s="14">
        <f>IF($A1120="","",$M1120-$L1120)</f>
        <v/>
      </c>
      <c r="O1120" s="4" t="n"/>
      <c r="P1120" s="15">
        <f>IF($A1120="","",DATE(YEAR($A1120),MONTH($A1120),1))</f>
        <v/>
      </c>
      <c r="Q1120" s="16">
        <f>IF($H1120="","",$J1120*IFERROR(INDEX('Settings'!$L$10:$L$39,MATCH($H1120,'Settings'!$I$10:$I$39,0)),0))</f>
        <v/>
      </c>
      <c r="R1120" s="17">
        <f>IF($A1120="","",$A1120-WEEKDAY($A1120,2)+1)</f>
        <v/>
      </c>
    </row>
    <row r="1121">
      <c r="A1121" s="5" t="n"/>
      <c r="B1121" s="4" t="n"/>
      <c r="C1121" s="4" t="n"/>
      <c r="D1121" s="4" t="n"/>
      <c r="E1121" s="4" t="n"/>
      <c r="F1121" s="4" t="n"/>
      <c r="G1121" s="4" t="n"/>
      <c r="H1121" s="4" t="n"/>
      <c r="I1121" s="9">
        <f>IF($H1121="","",IFERROR(INDEX('Settings'!$J$10:$J$39,MATCH($H1121,'Settings'!$I$10:$I$39,0)),""))</f>
        <v/>
      </c>
      <c r="J1121" s="6" t="n"/>
      <c r="K1121" s="8" t="n"/>
      <c r="L1121" s="8" t="n"/>
      <c r="M1121" s="14">
        <f>IF($A1121="","",$J1121*$K1121)</f>
        <v/>
      </c>
      <c r="N1121" s="14">
        <f>IF($A1121="","",$M1121-$L1121)</f>
        <v/>
      </c>
      <c r="O1121" s="4" t="n"/>
      <c r="P1121" s="15">
        <f>IF($A1121="","",DATE(YEAR($A1121),MONTH($A1121),1))</f>
        <v/>
      </c>
      <c r="Q1121" s="16">
        <f>IF($H1121="","",$J1121*IFERROR(INDEX('Settings'!$L$10:$L$39,MATCH($H1121,'Settings'!$I$10:$I$39,0)),0))</f>
        <v/>
      </c>
      <c r="R1121" s="17">
        <f>IF($A1121="","",$A1121-WEEKDAY($A1121,2)+1)</f>
        <v/>
      </c>
    </row>
    <row r="1122">
      <c r="A1122" s="5" t="n"/>
      <c r="B1122" s="4" t="n"/>
      <c r="C1122" s="4" t="n"/>
      <c r="D1122" s="4" t="n"/>
      <c r="E1122" s="4" t="n"/>
      <c r="F1122" s="4" t="n"/>
      <c r="G1122" s="4" t="n"/>
      <c r="H1122" s="4" t="n"/>
      <c r="I1122" s="9">
        <f>IF($H1122="","",IFERROR(INDEX('Settings'!$J$10:$J$39,MATCH($H1122,'Settings'!$I$10:$I$39,0)),""))</f>
        <v/>
      </c>
      <c r="J1122" s="6" t="n"/>
      <c r="K1122" s="8" t="n"/>
      <c r="L1122" s="8" t="n"/>
      <c r="M1122" s="14">
        <f>IF($A1122="","",$J1122*$K1122)</f>
        <v/>
      </c>
      <c r="N1122" s="14">
        <f>IF($A1122="","",$M1122-$L1122)</f>
        <v/>
      </c>
      <c r="O1122" s="4" t="n"/>
      <c r="P1122" s="15">
        <f>IF($A1122="","",DATE(YEAR($A1122),MONTH($A1122),1))</f>
        <v/>
      </c>
      <c r="Q1122" s="16">
        <f>IF($H1122="","",$J1122*IFERROR(INDEX('Settings'!$L$10:$L$39,MATCH($H1122,'Settings'!$I$10:$I$39,0)),0))</f>
        <v/>
      </c>
      <c r="R1122" s="17">
        <f>IF($A1122="","",$A1122-WEEKDAY($A1122,2)+1)</f>
        <v/>
      </c>
    </row>
    <row r="1123">
      <c r="A1123" s="5" t="n"/>
      <c r="B1123" s="4" t="n"/>
      <c r="C1123" s="4" t="n"/>
      <c r="D1123" s="4" t="n"/>
      <c r="E1123" s="4" t="n"/>
      <c r="F1123" s="4" t="n"/>
      <c r="G1123" s="4" t="n"/>
      <c r="H1123" s="4" t="n"/>
      <c r="I1123" s="9">
        <f>IF($H1123="","",IFERROR(INDEX('Settings'!$J$10:$J$39,MATCH($H1123,'Settings'!$I$10:$I$39,0)),""))</f>
        <v/>
      </c>
      <c r="J1123" s="6" t="n"/>
      <c r="K1123" s="8" t="n"/>
      <c r="L1123" s="8" t="n"/>
      <c r="M1123" s="14">
        <f>IF($A1123="","",$J1123*$K1123)</f>
        <v/>
      </c>
      <c r="N1123" s="14">
        <f>IF($A1123="","",$M1123-$L1123)</f>
        <v/>
      </c>
      <c r="O1123" s="4" t="n"/>
      <c r="P1123" s="15">
        <f>IF($A1123="","",DATE(YEAR($A1123),MONTH($A1123),1))</f>
        <v/>
      </c>
      <c r="Q1123" s="16">
        <f>IF($H1123="","",$J1123*IFERROR(INDEX('Settings'!$L$10:$L$39,MATCH($H1123,'Settings'!$I$10:$I$39,0)),0))</f>
        <v/>
      </c>
      <c r="R1123" s="17">
        <f>IF($A1123="","",$A1123-WEEKDAY($A1123,2)+1)</f>
        <v/>
      </c>
    </row>
    <row r="1124">
      <c r="A1124" s="5" t="n"/>
      <c r="B1124" s="4" t="n"/>
      <c r="C1124" s="4" t="n"/>
      <c r="D1124" s="4" t="n"/>
      <c r="E1124" s="4" t="n"/>
      <c r="F1124" s="4" t="n"/>
      <c r="G1124" s="4" t="n"/>
      <c r="H1124" s="4" t="n"/>
      <c r="I1124" s="9">
        <f>IF($H1124="","",IFERROR(INDEX('Settings'!$J$10:$J$39,MATCH($H1124,'Settings'!$I$10:$I$39,0)),""))</f>
        <v/>
      </c>
      <c r="J1124" s="6" t="n"/>
      <c r="K1124" s="8" t="n"/>
      <c r="L1124" s="8" t="n"/>
      <c r="M1124" s="14">
        <f>IF($A1124="","",$J1124*$K1124)</f>
        <v/>
      </c>
      <c r="N1124" s="14">
        <f>IF($A1124="","",$M1124-$L1124)</f>
        <v/>
      </c>
      <c r="O1124" s="4" t="n"/>
      <c r="P1124" s="15">
        <f>IF($A1124="","",DATE(YEAR($A1124),MONTH($A1124),1))</f>
        <v/>
      </c>
      <c r="Q1124" s="16">
        <f>IF($H1124="","",$J1124*IFERROR(INDEX('Settings'!$L$10:$L$39,MATCH($H1124,'Settings'!$I$10:$I$39,0)),0))</f>
        <v/>
      </c>
      <c r="R1124" s="17">
        <f>IF($A1124="","",$A1124-WEEKDAY($A1124,2)+1)</f>
        <v/>
      </c>
    </row>
    <row r="1125">
      <c r="A1125" s="5" t="n"/>
      <c r="B1125" s="4" t="n"/>
      <c r="C1125" s="4" t="n"/>
      <c r="D1125" s="4" t="n"/>
      <c r="E1125" s="4" t="n"/>
      <c r="F1125" s="4" t="n"/>
      <c r="G1125" s="4" t="n"/>
      <c r="H1125" s="4" t="n"/>
      <c r="I1125" s="9">
        <f>IF($H1125="","",IFERROR(INDEX('Settings'!$J$10:$J$39,MATCH($H1125,'Settings'!$I$10:$I$39,0)),""))</f>
        <v/>
      </c>
      <c r="J1125" s="6" t="n"/>
      <c r="K1125" s="8" t="n"/>
      <c r="L1125" s="8" t="n"/>
      <c r="M1125" s="14">
        <f>IF($A1125="","",$J1125*$K1125)</f>
        <v/>
      </c>
      <c r="N1125" s="14">
        <f>IF($A1125="","",$M1125-$L1125)</f>
        <v/>
      </c>
      <c r="O1125" s="4" t="n"/>
      <c r="P1125" s="15">
        <f>IF($A1125="","",DATE(YEAR($A1125),MONTH($A1125),1))</f>
        <v/>
      </c>
      <c r="Q1125" s="16">
        <f>IF($H1125="","",$J1125*IFERROR(INDEX('Settings'!$L$10:$L$39,MATCH($H1125,'Settings'!$I$10:$I$39,0)),0))</f>
        <v/>
      </c>
      <c r="R1125" s="17">
        <f>IF($A1125="","",$A1125-WEEKDAY($A1125,2)+1)</f>
        <v/>
      </c>
    </row>
    <row r="1126">
      <c r="A1126" s="5" t="n"/>
      <c r="B1126" s="4" t="n"/>
      <c r="C1126" s="4" t="n"/>
      <c r="D1126" s="4" t="n"/>
      <c r="E1126" s="4" t="n"/>
      <c r="F1126" s="4" t="n"/>
      <c r="G1126" s="4" t="n"/>
      <c r="H1126" s="4" t="n"/>
      <c r="I1126" s="9">
        <f>IF($H1126="","",IFERROR(INDEX('Settings'!$J$10:$J$39,MATCH($H1126,'Settings'!$I$10:$I$39,0)),""))</f>
        <v/>
      </c>
      <c r="J1126" s="6" t="n"/>
      <c r="K1126" s="8" t="n"/>
      <c r="L1126" s="8" t="n"/>
      <c r="M1126" s="14">
        <f>IF($A1126="","",$J1126*$K1126)</f>
        <v/>
      </c>
      <c r="N1126" s="14">
        <f>IF($A1126="","",$M1126-$L1126)</f>
        <v/>
      </c>
      <c r="O1126" s="4" t="n"/>
      <c r="P1126" s="15">
        <f>IF($A1126="","",DATE(YEAR($A1126),MONTH($A1126),1))</f>
        <v/>
      </c>
      <c r="Q1126" s="16">
        <f>IF($H1126="","",$J1126*IFERROR(INDEX('Settings'!$L$10:$L$39,MATCH($H1126,'Settings'!$I$10:$I$39,0)),0))</f>
        <v/>
      </c>
      <c r="R1126" s="17">
        <f>IF($A1126="","",$A1126-WEEKDAY($A1126,2)+1)</f>
        <v/>
      </c>
    </row>
    <row r="1127">
      <c r="A1127" s="5" t="n"/>
      <c r="B1127" s="4" t="n"/>
      <c r="C1127" s="4" t="n"/>
      <c r="D1127" s="4" t="n"/>
      <c r="E1127" s="4" t="n"/>
      <c r="F1127" s="4" t="n"/>
      <c r="G1127" s="4" t="n"/>
      <c r="H1127" s="4" t="n"/>
      <c r="I1127" s="9">
        <f>IF($H1127="","",IFERROR(INDEX('Settings'!$J$10:$J$39,MATCH($H1127,'Settings'!$I$10:$I$39,0)),""))</f>
        <v/>
      </c>
      <c r="J1127" s="6" t="n"/>
      <c r="K1127" s="8" t="n"/>
      <c r="L1127" s="8" t="n"/>
      <c r="M1127" s="14">
        <f>IF($A1127="","",$J1127*$K1127)</f>
        <v/>
      </c>
      <c r="N1127" s="14">
        <f>IF($A1127="","",$M1127-$L1127)</f>
        <v/>
      </c>
      <c r="O1127" s="4" t="n"/>
      <c r="P1127" s="15">
        <f>IF($A1127="","",DATE(YEAR($A1127),MONTH($A1127),1))</f>
        <v/>
      </c>
      <c r="Q1127" s="16">
        <f>IF($H1127="","",$J1127*IFERROR(INDEX('Settings'!$L$10:$L$39,MATCH($H1127,'Settings'!$I$10:$I$39,0)),0))</f>
        <v/>
      </c>
      <c r="R1127" s="17">
        <f>IF($A1127="","",$A1127-WEEKDAY($A1127,2)+1)</f>
        <v/>
      </c>
    </row>
    <row r="1128">
      <c r="A1128" s="5" t="n"/>
      <c r="B1128" s="4" t="n"/>
      <c r="C1128" s="4" t="n"/>
      <c r="D1128" s="4" t="n"/>
      <c r="E1128" s="4" t="n"/>
      <c r="F1128" s="4" t="n"/>
      <c r="G1128" s="4" t="n"/>
      <c r="H1128" s="4" t="n"/>
      <c r="I1128" s="9">
        <f>IF($H1128="","",IFERROR(INDEX('Settings'!$J$10:$J$39,MATCH($H1128,'Settings'!$I$10:$I$39,0)),""))</f>
        <v/>
      </c>
      <c r="J1128" s="6" t="n"/>
      <c r="K1128" s="8" t="n"/>
      <c r="L1128" s="8" t="n"/>
      <c r="M1128" s="14">
        <f>IF($A1128="","",$J1128*$K1128)</f>
        <v/>
      </c>
      <c r="N1128" s="14">
        <f>IF($A1128="","",$M1128-$L1128)</f>
        <v/>
      </c>
      <c r="O1128" s="4" t="n"/>
      <c r="P1128" s="15">
        <f>IF($A1128="","",DATE(YEAR($A1128),MONTH($A1128),1))</f>
        <v/>
      </c>
      <c r="Q1128" s="16">
        <f>IF($H1128="","",$J1128*IFERROR(INDEX('Settings'!$L$10:$L$39,MATCH($H1128,'Settings'!$I$10:$I$39,0)),0))</f>
        <v/>
      </c>
      <c r="R1128" s="17">
        <f>IF($A1128="","",$A1128-WEEKDAY($A1128,2)+1)</f>
        <v/>
      </c>
    </row>
    <row r="1129">
      <c r="A1129" s="5" t="n"/>
      <c r="B1129" s="4" t="n"/>
      <c r="C1129" s="4" t="n"/>
      <c r="D1129" s="4" t="n"/>
      <c r="E1129" s="4" t="n"/>
      <c r="F1129" s="4" t="n"/>
      <c r="G1129" s="4" t="n"/>
      <c r="H1129" s="4" t="n"/>
      <c r="I1129" s="9">
        <f>IF($H1129="","",IFERROR(INDEX('Settings'!$J$10:$J$39,MATCH($H1129,'Settings'!$I$10:$I$39,0)),""))</f>
        <v/>
      </c>
      <c r="J1129" s="6" t="n"/>
      <c r="K1129" s="8" t="n"/>
      <c r="L1129" s="8" t="n"/>
      <c r="M1129" s="14">
        <f>IF($A1129="","",$J1129*$K1129)</f>
        <v/>
      </c>
      <c r="N1129" s="14">
        <f>IF($A1129="","",$M1129-$L1129)</f>
        <v/>
      </c>
      <c r="O1129" s="4" t="n"/>
      <c r="P1129" s="15">
        <f>IF($A1129="","",DATE(YEAR($A1129),MONTH($A1129),1))</f>
        <v/>
      </c>
      <c r="Q1129" s="16">
        <f>IF($H1129="","",$J1129*IFERROR(INDEX('Settings'!$L$10:$L$39,MATCH($H1129,'Settings'!$I$10:$I$39,0)),0))</f>
        <v/>
      </c>
      <c r="R1129" s="17">
        <f>IF($A1129="","",$A1129-WEEKDAY($A1129,2)+1)</f>
        <v/>
      </c>
    </row>
    <row r="1130">
      <c r="A1130" s="5" t="n"/>
      <c r="B1130" s="4" t="n"/>
      <c r="C1130" s="4" t="n"/>
      <c r="D1130" s="4" t="n"/>
      <c r="E1130" s="4" t="n"/>
      <c r="F1130" s="4" t="n"/>
      <c r="G1130" s="4" t="n"/>
      <c r="H1130" s="4" t="n"/>
      <c r="I1130" s="9">
        <f>IF($H1130="","",IFERROR(INDEX('Settings'!$J$10:$J$39,MATCH($H1130,'Settings'!$I$10:$I$39,0)),""))</f>
        <v/>
      </c>
      <c r="J1130" s="6" t="n"/>
      <c r="K1130" s="8" t="n"/>
      <c r="L1130" s="8" t="n"/>
      <c r="M1130" s="14">
        <f>IF($A1130="","",$J1130*$K1130)</f>
        <v/>
      </c>
      <c r="N1130" s="14">
        <f>IF($A1130="","",$M1130-$L1130)</f>
        <v/>
      </c>
      <c r="O1130" s="4" t="n"/>
      <c r="P1130" s="15">
        <f>IF($A1130="","",DATE(YEAR($A1130),MONTH($A1130),1))</f>
        <v/>
      </c>
      <c r="Q1130" s="16">
        <f>IF($H1130="","",$J1130*IFERROR(INDEX('Settings'!$L$10:$L$39,MATCH($H1130,'Settings'!$I$10:$I$39,0)),0))</f>
        <v/>
      </c>
      <c r="R1130" s="17">
        <f>IF($A1130="","",$A1130-WEEKDAY($A1130,2)+1)</f>
        <v/>
      </c>
    </row>
    <row r="1131">
      <c r="A1131" s="5" t="n"/>
      <c r="B1131" s="4" t="n"/>
      <c r="C1131" s="4" t="n"/>
      <c r="D1131" s="4" t="n"/>
      <c r="E1131" s="4" t="n"/>
      <c r="F1131" s="4" t="n"/>
      <c r="G1131" s="4" t="n"/>
      <c r="H1131" s="4" t="n"/>
      <c r="I1131" s="9">
        <f>IF($H1131="","",IFERROR(INDEX('Settings'!$J$10:$J$39,MATCH($H1131,'Settings'!$I$10:$I$39,0)),""))</f>
        <v/>
      </c>
      <c r="J1131" s="6" t="n"/>
      <c r="K1131" s="8" t="n"/>
      <c r="L1131" s="8" t="n"/>
      <c r="M1131" s="14">
        <f>IF($A1131="","",$J1131*$K1131)</f>
        <v/>
      </c>
      <c r="N1131" s="14">
        <f>IF($A1131="","",$M1131-$L1131)</f>
        <v/>
      </c>
      <c r="O1131" s="4" t="n"/>
      <c r="P1131" s="15">
        <f>IF($A1131="","",DATE(YEAR($A1131),MONTH($A1131),1))</f>
        <v/>
      </c>
      <c r="Q1131" s="16">
        <f>IF($H1131="","",$J1131*IFERROR(INDEX('Settings'!$L$10:$L$39,MATCH($H1131,'Settings'!$I$10:$I$39,0)),0))</f>
        <v/>
      </c>
      <c r="R1131" s="17">
        <f>IF($A1131="","",$A1131-WEEKDAY($A1131,2)+1)</f>
        <v/>
      </c>
    </row>
    <row r="1132">
      <c r="A1132" s="5" t="n"/>
      <c r="B1132" s="4" t="n"/>
      <c r="C1132" s="4" t="n"/>
      <c r="D1132" s="4" t="n"/>
      <c r="E1132" s="4" t="n"/>
      <c r="F1132" s="4" t="n"/>
      <c r="G1132" s="4" t="n"/>
      <c r="H1132" s="4" t="n"/>
      <c r="I1132" s="9">
        <f>IF($H1132="","",IFERROR(INDEX('Settings'!$J$10:$J$39,MATCH($H1132,'Settings'!$I$10:$I$39,0)),""))</f>
        <v/>
      </c>
      <c r="J1132" s="6" t="n"/>
      <c r="K1132" s="8" t="n"/>
      <c r="L1132" s="8" t="n"/>
      <c r="M1132" s="14">
        <f>IF($A1132="","",$J1132*$K1132)</f>
        <v/>
      </c>
      <c r="N1132" s="14">
        <f>IF($A1132="","",$M1132-$L1132)</f>
        <v/>
      </c>
      <c r="O1132" s="4" t="n"/>
      <c r="P1132" s="15">
        <f>IF($A1132="","",DATE(YEAR($A1132),MONTH($A1132),1))</f>
        <v/>
      </c>
      <c r="Q1132" s="16">
        <f>IF($H1132="","",$J1132*IFERROR(INDEX('Settings'!$L$10:$L$39,MATCH($H1132,'Settings'!$I$10:$I$39,0)),0))</f>
        <v/>
      </c>
      <c r="R1132" s="17">
        <f>IF($A1132="","",$A1132-WEEKDAY($A1132,2)+1)</f>
        <v/>
      </c>
    </row>
    <row r="1133">
      <c r="A1133" s="5" t="n"/>
      <c r="B1133" s="4" t="n"/>
      <c r="C1133" s="4" t="n"/>
      <c r="D1133" s="4" t="n"/>
      <c r="E1133" s="4" t="n"/>
      <c r="F1133" s="4" t="n"/>
      <c r="G1133" s="4" t="n"/>
      <c r="H1133" s="4" t="n"/>
      <c r="I1133" s="9">
        <f>IF($H1133="","",IFERROR(INDEX('Settings'!$J$10:$J$39,MATCH($H1133,'Settings'!$I$10:$I$39,0)),""))</f>
        <v/>
      </c>
      <c r="J1133" s="6" t="n"/>
      <c r="K1133" s="8" t="n"/>
      <c r="L1133" s="8" t="n"/>
      <c r="M1133" s="14">
        <f>IF($A1133="","",$J1133*$K1133)</f>
        <v/>
      </c>
      <c r="N1133" s="14">
        <f>IF($A1133="","",$M1133-$L1133)</f>
        <v/>
      </c>
      <c r="O1133" s="4" t="n"/>
      <c r="P1133" s="15">
        <f>IF($A1133="","",DATE(YEAR($A1133),MONTH($A1133),1))</f>
        <v/>
      </c>
      <c r="Q1133" s="16">
        <f>IF($H1133="","",$J1133*IFERROR(INDEX('Settings'!$L$10:$L$39,MATCH($H1133,'Settings'!$I$10:$I$39,0)),0))</f>
        <v/>
      </c>
      <c r="R1133" s="17">
        <f>IF($A1133="","",$A1133-WEEKDAY($A1133,2)+1)</f>
        <v/>
      </c>
    </row>
    <row r="1134">
      <c r="A1134" s="5" t="n"/>
      <c r="B1134" s="4" t="n"/>
      <c r="C1134" s="4" t="n"/>
      <c r="D1134" s="4" t="n"/>
      <c r="E1134" s="4" t="n"/>
      <c r="F1134" s="4" t="n"/>
      <c r="G1134" s="4" t="n"/>
      <c r="H1134" s="4" t="n"/>
      <c r="I1134" s="9">
        <f>IF($H1134="","",IFERROR(INDEX('Settings'!$J$10:$J$39,MATCH($H1134,'Settings'!$I$10:$I$39,0)),""))</f>
        <v/>
      </c>
      <c r="J1134" s="6" t="n"/>
      <c r="K1134" s="8" t="n"/>
      <c r="L1134" s="8" t="n"/>
      <c r="M1134" s="14">
        <f>IF($A1134="","",$J1134*$K1134)</f>
        <v/>
      </c>
      <c r="N1134" s="14">
        <f>IF($A1134="","",$M1134-$L1134)</f>
        <v/>
      </c>
      <c r="O1134" s="4" t="n"/>
      <c r="P1134" s="15">
        <f>IF($A1134="","",DATE(YEAR($A1134),MONTH($A1134),1))</f>
        <v/>
      </c>
      <c r="Q1134" s="16">
        <f>IF($H1134="","",$J1134*IFERROR(INDEX('Settings'!$L$10:$L$39,MATCH($H1134,'Settings'!$I$10:$I$39,0)),0))</f>
        <v/>
      </c>
      <c r="R1134" s="17">
        <f>IF($A1134="","",$A1134-WEEKDAY($A1134,2)+1)</f>
        <v/>
      </c>
    </row>
    <row r="1135">
      <c r="A1135" s="5" t="n"/>
      <c r="B1135" s="4" t="n"/>
      <c r="C1135" s="4" t="n"/>
      <c r="D1135" s="4" t="n"/>
      <c r="E1135" s="4" t="n"/>
      <c r="F1135" s="4" t="n"/>
      <c r="G1135" s="4" t="n"/>
      <c r="H1135" s="4" t="n"/>
      <c r="I1135" s="9">
        <f>IF($H1135="","",IFERROR(INDEX('Settings'!$J$10:$J$39,MATCH($H1135,'Settings'!$I$10:$I$39,0)),""))</f>
        <v/>
      </c>
      <c r="J1135" s="6" t="n"/>
      <c r="K1135" s="8" t="n"/>
      <c r="L1135" s="8" t="n"/>
      <c r="M1135" s="14">
        <f>IF($A1135="","",$J1135*$K1135)</f>
        <v/>
      </c>
      <c r="N1135" s="14">
        <f>IF($A1135="","",$M1135-$L1135)</f>
        <v/>
      </c>
      <c r="O1135" s="4" t="n"/>
      <c r="P1135" s="15">
        <f>IF($A1135="","",DATE(YEAR($A1135),MONTH($A1135),1))</f>
        <v/>
      </c>
      <c r="Q1135" s="16">
        <f>IF($H1135="","",$J1135*IFERROR(INDEX('Settings'!$L$10:$L$39,MATCH($H1135,'Settings'!$I$10:$I$39,0)),0))</f>
        <v/>
      </c>
      <c r="R1135" s="17">
        <f>IF($A1135="","",$A1135-WEEKDAY($A1135,2)+1)</f>
        <v/>
      </c>
    </row>
    <row r="1136">
      <c r="A1136" s="5" t="n"/>
      <c r="B1136" s="4" t="n"/>
      <c r="C1136" s="4" t="n"/>
      <c r="D1136" s="4" t="n"/>
      <c r="E1136" s="4" t="n"/>
      <c r="F1136" s="4" t="n"/>
      <c r="G1136" s="4" t="n"/>
      <c r="H1136" s="4" t="n"/>
      <c r="I1136" s="9">
        <f>IF($H1136="","",IFERROR(INDEX('Settings'!$J$10:$J$39,MATCH($H1136,'Settings'!$I$10:$I$39,0)),""))</f>
        <v/>
      </c>
      <c r="J1136" s="6" t="n"/>
      <c r="K1136" s="8" t="n"/>
      <c r="L1136" s="8" t="n"/>
      <c r="M1136" s="14">
        <f>IF($A1136="","",$J1136*$K1136)</f>
        <v/>
      </c>
      <c r="N1136" s="14">
        <f>IF($A1136="","",$M1136-$L1136)</f>
        <v/>
      </c>
      <c r="O1136" s="4" t="n"/>
      <c r="P1136" s="15">
        <f>IF($A1136="","",DATE(YEAR($A1136),MONTH($A1136),1))</f>
        <v/>
      </c>
      <c r="Q1136" s="16">
        <f>IF($H1136="","",$J1136*IFERROR(INDEX('Settings'!$L$10:$L$39,MATCH($H1136,'Settings'!$I$10:$I$39,0)),0))</f>
        <v/>
      </c>
      <c r="R1136" s="17">
        <f>IF($A1136="","",$A1136-WEEKDAY($A1136,2)+1)</f>
        <v/>
      </c>
    </row>
    <row r="1137">
      <c r="A1137" s="5" t="n"/>
      <c r="B1137" s="4" t="n"/>
      <c r="C1137" s="4" t="n"/>
      <c r="D1137" s="4" t="n"/>
      <c r="E1137" s="4" t="n"/>
      <c r="F1137" s="4" t="n"/>
      <c r="G1137" s="4" t="n"/>
      <c r="H1137" s="4" t="n"/>
      <c r="I1137" s="9">
        <f>IF($H1137="","",IFERROR(INDEX('Settings'!$J$10:$J$39,MATCH($H1137,'Settings'!$I$10:$I$39,0)),""))</f>
        <v/>
      </c>
      <c r="J1137" s="6" t="n"/>
      <c r="K1137" s="8" t="n"/>
      <c r="L1137" s="8" t="n"/>
      <c r="M1137" s="14">
        <f>IF($A1137="","",$J1137*$K1137)</f>
        <v/>
      </c>
      <c r="N1137" s="14">
        <f>IF($A1137="","",$M1137-$L1137)</f>
        <v/>
      </c>
      <c r="O1137" s="4" t="n"/>
      <c r="P1137" s="15">
        <f>IF($A1137="","",DATE(YEAR($A1137),MONTH($A1137),1))</f>
        <v/>
      </c>
      <c r="Q1137" s="16">
        <f>IF($H1137="","",$J1137*IFERROR(INDEX('Settings'!$L$10:$L$39,MATCH($H1137,'Settings'!$I$10:$I$39,0)),0))</f>
        <v/>
      </c>
      <c r="R1137" s="17">
        <f>IF($A1137="","",$A1137-WEEKDAY($A1137,2)+1)</f>
        <v/>
      </c>
    </row>
    <row r="1138">
      <c r="A1138" s="5" t="n"/>
      <c r="B1138" s="4" t="n"/>
      <c r="C1138" s="4" t="n"/>
      <c r="D1138" s="4" t="n"/>
      <c r="E1138" s="4" t="n"/>
      <c r="F1138" s="4" t="n"/>
      <c r="G1138" s="4" t="n"/>
      <c r="H1138" s="4" t="n"/>
      <c r="I1138" s="9">
        <f>IF($H1138="","",IFERROR(INDEX('Settings'!$J$10:$J$39,MATCH($H1138,'Settings'!$I$10:$I$39,0)),""))</f>
        <v/>
      </c>
      <c r="J1138" s="6" t="n"/>
      <c r="K1138" s="8" t="n"/>
      <c r="L1138" s="8" t="n"/>
      <c r="M1138" s="14">
        <f>IF($A1138="","",$J1138*$K1138)</f>
        <v/>
      </c>
      <c r="N1138" s="14">
        <f>IF($A1138="","",$M1138-$L1138)</f>
        <v/>
      </c>
      <c r="O1138" s="4" t="n"/>
      <c r="P1138" s="15">
        <f>IF($A1138="","",DATE(YEAR($A1138),MONTH($A1138),1))</f>
        <v/>
      </c>
      <c r="Q1138" s="16">
        <f>IF($H1138="","",$J1138*IFERROR(INDEX('Settings'!$L$10:$L$39,MATCH($H1138,'Settings'!$I$10:$I$39,0)),0))</f>
        <v/>
      </c>
      <c r="R1138" s="17">
        <f>IF($A1138="","",$A1138-WEEKDAY($A1138,2)+1)</f>
        <v/>
      </c>
    </row>
    <row r="1139">
      <c r="A1139" s="5" t="n"/>
      <c r="B1139" s="4" t="n"/>
      <c r="C1139" s="4" t="n"/>
      <c r="D1139" s="4" t="n"/>
      <c r="E1139" s="4" t="n"/>
      <c r="F1139" s="4" t="n"/>
      <c r="G1139" s="4" t="n"/>
      <c r="H1139" s="4" t="n"/>
      <c r="I1139" s="9">
        <f>IF($H1139="","",IFERROR(INDEX('Settings'!$J$10:$J$39,MATCH($H1139,'Settings'!$I$10:$I$39,0)),""))</f>
        <v/>
      </c>
      <c r="J1139" s="6" t="n"/>
      <c r="K1139" s="8" t="n"/>
      <c r="L1139" s="8" t="n"/>
      <c r="M1139" s="14">
        <f>IF($A1139="","",$J1139*$K1139)</f>
        <v/>
      </c>
      <c r="N1139" s="14">
        <f>IF($A1139="","",$M1139-$L1139)</f>
        <v/>
      </c>
      <c r="O1139" s="4" t="n"/>
      <c r="P1139" s="15">
        <f>IF($A1139="","",DATE(YEAR($A1139),MONTH($A1139),1))</f>
        <v/>
      </c>
      <c r="Q1139" s="16">
        <f>IF($H1139="","",$J1139*IFERROR(INDEX('Settings'!$L$10:$L$39,MATCH($H1139,'Settings'!$I$10:$I$39,0)),0))</f>
        <v/>
      </c>
      <c r="R1139" s="17">
        <f>IF($A1139="","",$A1139-WEEKDAY($A1139,2)+1)</f>
        <v/>
      </c>
    </row>
    <row r="1140">
      <c r="A1140" s="5" t="n"/>
      <c r="B1140" s="4" t="n"/>
      <c r="C1140" s="4" t="n"/>
      <c r="D1140" s="4" t="n"/>
      <c r="E1140" s="4" t="n"/>
      <c r="F1140" s="4" t="n"/>
      <c r="G1140" s="4" t="n"/>
      <c r="H1140" s="4" t="n"/>
      <c r="I1140" s="9">
        <f>IF($H1140="","",IFERROR(INDEX('Settings'!$J$10:$J$39,MATCH($H1140,'Settings'!$I$10:$I$39,0)),""))</f>
        <v/>
      </c>
      <c r="J1140" s="6" t="n"/>
      <c r="K1140" s="8" t="n"/>
      <c r="L1140" s="8" t="n"/>
      <c r="M1140" s="14">
        <f>IF($A1140="","",$J1140*$K1140)</f>
        <v/>
      </c>
      <c r="N1140" s="14">
        <f>IF($A1140="","",$M1140-$L1140)</f>
        <v/>
      </c>
      <c r="O1140" s="4" t="n"/>
      <c r="P1140" s="15">
        <f>IF($A1140="","",DATE(YEAR($A1140),MONTH($A1140),1))</f>
        <v/>
      </c>
      <c r="Q1140" s="16">
        <f>IF($H1140="","",$J1140*IFERROR(INDEX('Settings'!$L$10:$L$39,MATCH($H1140,'Settings'!$I$10:$I$39,0)),0))</f>
        <v/>
      </c>
      <c r="R1140" s="17">
        <f>IF($A1140="","",$A1140-WEEKDAY($A1140,2)+1)</f>
        <v/>
      </c>
    </row>
    <row r="1141">
      <c r="A1141" s="5" t="n"/>
      <c r="B1141" s="4" t="n"/>
      <c r="C1141" s="4" t="n"/>
      <c r="D1141" s="4" t="n"/>
      <c r="E1141" s="4" t="n"/>
      <c r="F1141" s="4" t="n"/>
      <c r="G1141" s="4" t="n"/>
      <c r="H1141" s="4" t="n"/>
      <c r="I1141" s="9">
        <f>IF($H1141="","",IFERROR(INDEX('Settings'!$J$10:$J$39,MATCH($H1141,'Settings'!$I$10:$I$39,0)),""))</f>
        <v/>
      </c>
      <c r="J1141" s="6" t="n"/>
      <c r="K1141" s="8" t="n"/>
      <c r="L1141" s="8" t="n"/>
      <c r="M1141" s="14">
        <f>IF($A1141="","",$J1141*$K1141)</f>
        <v/>
      </c>
      <c r="N1141" s="14">
        <f>IF($A1141="","",$M1141-$L1141)</f>
        <v/>
      </c>
      <c r="O1141" s="4" t="n"/>
      <c r="P1141" s="15">
        <f>IF($A1141="","",DATE(YEAR($A1141),MONTH($A1141),1))</f>
        <v/>
      </c>
      <c r="Q1141" s="16">
        <f>IF($H1141="","",$J1141*IFERROR(INDEX('Settings'!$L$10:$L$39,MATCH($H1141,'Settings'!$I$10:$I$39,0)),0))</f>
        <v/>
      </c>
      <c r="R1141" s="17">
        <f>IF($A1141="","",$A1141-WEEKDAY($A1141,2)+1)</f>
        <v/>
      </c>
    </row>
    <row r="1142">
      <c r="A1142" s="5" t="n"/>
      <c r="B1142" s="4" t="n"/>
      <c r="C1142" s="4" t="n"/>
      <c r="D1142" s="4" t="n"/>
      <c r="E1142" s="4" t="n"/>
      <c r="F1142" s="4" t="n"/>
      <c r="G1142" s="4" t="n"/>
      <c r="H1142" s="4" t="n"/>
      <c r="I1142" s="9">
        <f>IF($H1142="","",IFERROR(INDEX('Settings'!$J$10:$J$39,MATCH($H1142,'Settings'!$I$10:$I$39,0)),""))</f>
        <v/>
      </c>
      <c r="J1142" s="6" t="n"/>
      <c r="K1142" s="8" t="n"/>
      <c r="L1142" s="8" t="n"/>
      <c r="M1142" s="14">
        <f>IF($A1142="","",$J1142*$K1142)</f>
        <v/>
      </c>
      <c r="N1142" s="14">
        <f>IF($A1142="","",$M1142-$L1142)</f>
        <v/>
      </c>
      <c r="O1142" s="4" t="n"/>
      <c r="P1142" s="15">
        <f>IF($A1142="","",DATE(YEAR($A1142),MONTH($A1142),1))</f>
        <v/>
      </c>
      <c r="Q1142" s="16">
        <f>IF($H1142="","",$J1142*IFERROR(INDEX('Settings'!$L$10:$L$39,MATCH($H1142,'Settings'!$I$10:$I$39,0)),0))</f>
        <v/>
      </c>
      <c r="R1142" s="17">
        <f>IF($A1142="","",$A1142-WEEKDAY($A1142,2)+1)</f>
        <v/>
      </c>
    </row>
    <row r="1143">
      <c r="A1143" s="5" t="n"/>
      <c r="B1143" s="4" t="n"/>
      <c r="C1143" s="4" t="n"/>
      <c r="D1143" s="4" t="n"/>
      <c r="E1143" s="4" t="n"/>
      <c r="F1143" s="4" t="n"/>
      <c r="G1143" s="4" t="n"/>
      <c r="H1143" s="4" t="n"/>
      <c r="I1143" s="9">
        <f>IF($H1143="","",IFERROR(INDEX('Settings'!$J$10:$J$39,MATCH($H1143,'Settings'!$I$10:$I$39,0)),""))</f>
        <v/>
      </c>
      <c r="J1143" s="6" t="n"/>
      <c r="K1143" s="8" t="n"/>
      <c r="L1143" s="8" t="n"/>
      <c r="M1143" s="14">
        <f>IF($A1143="","",$J1143*$K1143)</f>
        <v/>
      </c>
      <c r="N1143" s="14">
        <f>IF($A1143="","",$M1143-$L1143)</f>
        <v/>
      </c>
      <c r="O1143" s="4" t="n"/>
      <c r="P1143" s="15">
        <f>IF($A1143="","",DATE(YEAR($A1143),MONTH($A1143),1))</f>
        <v/>
      </c>
      <c r="Q1143" s="16">
        <f>IF($H1143="","",$J1143*IFERROR(INDEX('Settings'!$L$10:$L$39,MATCH($H1143,'Settings'!$I$10:$I$39,0)),0))</f>
        <v/>
      </c>
      <c r="R1143" s="17">
        <f>IF($A1143="","",$A1143-WEEKDAY($A1143,2)+1)</f>
        <v/>
      </c>
    </row>
    <row r="1144">
      <c r="A1144" s="5" t="n"/>
      <c r="B1144" s="4" t="n"/>
      <c r="C1144" s="4" t="n"/>
      <c r="D1144" s="4" t="n"/>
      <c r="E1144" s="4" t="n"/>
      <c r="F1144" s="4" t="n"/>
      <c r="G1144" s="4" t="n"/>
      <c r="H1144" s="4" t="n"/>
      <c r="I1144" s="9">
        <f>IF($H1144="","",IFERROR(INDEX('Settings'!$J$10:$J$39,MATCH($H1144,'Settings'!$I$10:$I$39,0)),""))</f>
        <v/>
      </c>
      <c r="J1144" s="6" t="n"/>
      <c r="K1144" s="8" t="n"/>
      <c r="L1144" s="8" t="n"/>
      <c r="M1144" s="14">
        <f>IF($A1144="","",$J1144*$K1144)</f>
        <v/>
      </c>
      <c r="N1144" s="14">
        <f>IF($A1144="","",$M1144-$L1144)</f>
        <v/>
      </c>
      <c r="O1144" s="4" t="n"/>
      <c r="P1144" s="15">
        <f>IF($A1144="","",DATE(YEAR($A1144),MONTH($A1144),1))</f>
        <v/>
      </c>
      <c r="Q1144" s="16">
        <f>IF($H1144="","",$J1144*IFERROR(INDEX('Settings'!$L$10:$L$39,MATCH($H1144,'Settings'!$I$10:$I$39,0)),0))</f>
        <v/>
      </c>
      <c r="R1144" s="17">
        <f>IF($A1144="","",$A1144-WEEKDAY($A1144,2)+1)</f>
        <v/>
      </c>
    </row>
    <row r="1145">
      <c r="A1145" s="5" t="n"/>
      <c r="B1145" s="4" t="n"/>
      <c r="C1145" s="4" t="n"/>
      <c r="D1145" s="4" t="n"/>
      <c r="E1145" s="4" t="n"/>
      <c r="F1145" s="4" t="n"/>
      <c r="G1145" s="4" t="n"/>
      <c r="H1145" s="4" t="n"/>
      <c r="I1145" s="9">
        <f>IF($H1145="","",IFERROR(INDEX('Settings'!$J$10:$J$39,MATCH($H1145,'Settings'!$I$10:$I$39,0)),""))</f>
        <v/>
      </c>
      <c r="J1145" s="6" t="n"/>
      <c r="K1145" s="8" t="n"/>
      <c r="L1145" s="8" t="n"/>
      <c r="M1145" s="14">
        <f>IF($A1145="","",$J1145*$K1145)</f>
        <v/>
      </c>
      <c r="N1145" s="14">
        <f>IF($A1145="","",$M1145-$L1145)</f>
        <v/>
      </c>
      <c r="O1145" s="4" t="n"/>
      <c r="P1145" s="15">
        <f>IF($A1145="","",DATE(YEAR($A1145),MONTH($A1145),1))</f>
        <v/>
      </c>
      <c r="Q1145" s="16">
        <f>IF($H1145="","",$J1145*IFERROR(INDEX('Settings'!$L$10:$L$39,MATCH($H1145,'Settings'!$I$10:$I$39,0)),0))</f>
        <v/>
      </c>
      <c r="R1145" s="17">
        <f>IF($A1145="","",$A1145-WEEKDAY($A1145,2)+1)</f>
        <v/>
      </c>
    </row>
    <row r="1146">
      <c r="A1146" s="5" t="n"/>
      <c r="B1146" s="4" t="n"/>
      <c r="C1146" s="4" t="n"/>
      <c r="D1146" s="4" t="n"/>
      <c r="E1146" s="4" t="n"/>
      <c r="F1146" s="4" t="n"/>
      <c r="G1146" s="4" t="n"/>
      <c r="H1146" s="4" t="n"/>
      <c r="I1146" s="9">
        <f>IF($H1146="","",IFERROR(INDEX('Settings'!$J$10:$J$39,MATCH($H1146,'Settings'!$I$10:$I$39,0)),""))</f>
        <v/>
      </c>
      <c r="J1146" s="6" t="n"/>
      <c r="K1146" s="8" t="n"/>
      <c r="L1146" s="8" t="n"/>
      <c r="M1146" s="14">
        <f>IF($A1146="","",$J1146*$K1146)</f>
        <v/>
      </c>
      <c r="N1146" s="14">
        <f>IF($A1146="","",$M1146-$L1146)</f>
        <v/>
      </c>
      <c r="O1146" s="4" t="n"/>
      <c r="P1146" s="15">
        <f>IF($A1146="","",DATE(YEAR($A1146),MONTH($A1146),1))</f>
        <v/>
      </c>
      <c r="Q1146" s="16">
        <f>IF($H1146="","",$J1146*IFERROR(INDEX('Settings'!$L$10:$L$39,MATCH($H1146,'Settings'!$I$10:$I$39,0)),0))</f>
        <v/>
      </c>
      <c r="R1146" s="17">
        <f>IF($A1146="","",$A1146-WEEKDAY($A1146,2)+1)</f>
        <v/>
      </c>
    </row>
    <row r="1147">
      <c r="A1147" s="5" t="n"/>
      <c r="B1147" s="4" t="n"/>
      <c r="C1147" s="4" t="n"/>
      <c r="D1147" s="4" t="n"/>
      <c r="E1147" s="4" t="n"/>
      <c r="F1147" s="4" t="n"/>
      <c r="G1147" s="4" t="n"/>
      <c r="H1147" s="4" t="n"/>
      <c r="I1147" s="9">
        <f>IF($H1147="","",IFERROR(INDEX('Settings'!$J$10:$J$39,MATCH($H1147,'Settings'!$I$10:$I$39,0)),""))</f>
        <v/>
      </c>
      <c r="J1147" s="6" t="n"/>
      <c r="K1147" s="8" t="n"/>
      <c r="L1147" s="8" t="n"/>
      <c r="M1147" s="14">
        <f>IF($A1147="","",$J1147*$K1147)</f>
        <v/>
      </c>
      <c r="N1147" s="14">
        <f>IF($A1147="","",$M1147-$L1147)</f>
        <v/>
      </c>
      <c r="O1147" s="4" t="n"/>
      <c r="P1147" s="15">
        <f>IF($A1147="","",DATE(YEAR($A1147),MONTH($A1147),1))</f>
        <v/>
      </c>
      <c r="Q1147" s="16">
        <f>IF($H1147="","",$J1147*IFERROR(INDEX('Settings'!$L$10:$L$39,MATCH($H1147,'Settings'!$I$10:$I$39,0)),0))</f>
        <v/>
      </c>
      <c r="R1147" s="17">
        <f>IF($A1147="","",$A1147-WEEKDAY($A1147,2)+1)</f>
        <v/>
      </c>
    </row>
    <row r="1148">
      <c r="A1148" s="5" t="n"/>
      <c r="B1148" s="4" t="n"/>
      <c r="C1148" s="4" t="n"/>
      <c r="D1148" s="4" t="n"/>
      <c r="E1148" s="4" t="n"/>
      <c r="F1148" s="4" t="n"/>
      <c r="G1148" s="4" t="n"/>
      <c r="H1148" s="4" t="n"/>
      <c r="I1148" s="9">
        <f>IF($H1148="","",IFERROR(INDEX('Settings'!$J$10:$J$39,MATCH($H1148,'Settings'!$I$10:$I$39,0)),""))</f>
        <v/>
      </c>
      <c r="J1148" s="6" t="n"/>
      <c r="K1148" s="8" t="n"/>
      <c r="L1148" s="8" t="n"/>
      <c r="M1148" s="14">
        <f>IF($A1148="","",$J1148*$K1148)</f>
        <v/>
      </c>
      <c r="N1148" s="14">
        <f>IF($A1148="","",$M1148-$L1148)</f>
        <v/>
      </c>
      <c r="O1148" s="4" t="n"/>
      <c r="P1148" s="15">
        <f>IF($A1148="","",DATE(YEAR($A1148),MONTH($A1148),1))</f>
        <v/>
      </c>
      <c r="Q1148" s="16">
        <f>IF($H1148="","",$J1148*IFERROR(INDEX('Settings'!$L$10:$L$39,MATCH($H1148,'Settings'!$I$10:$I$39,0)),0))</f>
        <v/>
      </c>
      <c r="R1148" s="17">
        <f>IF($A1148="","",$A1148-WEEKDAY($A1148,2)+1)</f>
        <v/>
      </c>
    </row>
    <row r="1149">
      <c r="A1149" s="5" t="n"/>
      <c r="B1149" s="4" t="n"/>
      <c r="C1149" s="4" t="n"/>
      <c r="D1149" s="4" t="n"/>
      <c r="E1149" s="4" t="n"/>
      <c r="F1149" s="4" t="n"/>
      <c r="G1149" s="4" t="n"/>
      <c r="H1149" s="4" t="n"/>
      <c r="I1149" s="9">
        <f>IF($H1149="","",IFERROR(INDEX('Settings'!$J$10:$J$39,MATCH($H1149,'Settings'!$I$10:$I$39,0)),""))</f>
        <v/>
      </c>
      <c r="J1149" s="6" t="n"/>
      <c r="K1149" s="8" t="n"/>
      <c r="L1149" s="8" t="n"/>
      <c r="M1149" s="14">
        <f>IF($A1149="","",$J1149*$K1149)</f>
        <v/>
      </c>
      <c r="N1149" s="14">
        <f>IF($A1149="","",$M1149-$L1149)</f>
        <v/>
      </c>
      <c r="O1149" s="4" t="n"/>
      <c r="P1149" s="15">
        <f>IF($A1149="","",DATE(YEAR($A1149),MONTH($A1149),1))</f>
        <v/>
      </c>
      <c r="Q1149" s="16">
        <f>IF($H1149="","",$J1149*IFERROR(INDEX('Settings'!$L$10:$L$39,MATCH($H1149,'Settings'!$I$10:$I$39,0)),0))</f>
        <v/>
      </c>
      <c r="R1149" s="17">
        <f>IF($A1149="","",$A1149-WEEKDAY($A1149,2)+1)</f>
        <v/>
      </c>
    </row>
    <row r="1150">
      <c r="A1150" s="5" t="n"/>
      <c r="B1150" s="4" t="n"/>
      <c r="C1150" s="4" t="n"/>
      <c r="D1150" s="4" t="n"/>
      <c r="E1150" s="4" t="n"/>
      <c r="F1150" s="4" t="n"/>
      <c r="G1150" s="4" t="n"/>
      <c r="H1150" s="4" t="n"/>
      <c r="I1150" s="9">
        <f>IF($H1150="","",IFERROR(INDEX('Settings'!$J$10:$J$39,MATCH($H1150,'Settings'!$I$10:$I$39,0)),""))</f>
        <v/>
      </c>
      <c r="J1150" s="6" t="n"/>
      <c r="K1150" s="8" t="n"/>
      <c r="L1150" s="8" t="n"/>
      <c r="M1150" s="14">
        <f>IF($A1150="","",$J1150*$K1150)</f>
        <v/>
      </c>
      <c r="N1150" s="14">
        <f>IF($A1150="","",$M1150-$L1150)</f>
        <v/>
      </c>
      <c r="O1150" s="4" t="n"/>
      <c r="P1150" s="15">
        <f>IF($A1150="","",DATE(YEAR($A1150),MONTH($A1150),1))</f>
        <v/>
      </c>
      <c r="Q1150" s="16">
        <f>IF($H1150="","",$J1150*IFERROR(INDEX('Settings'!$L$10:$L$39,MATCH($H1150,'Settings'!$I$10:$I$39,0)),0))</f>
        <v/>
      </c>
      <c r="R1150" s="17">
        <f>IF($A1150="","",$A1150-WEEKDAY($A1150,2)+1)</f>
        <v/>
      </c>
    </row>
    <row r="1151">
      <c r="A1151" s="5" t="n"/>
      <c r="B1151" s="4" t="n"/>
      <c r="C1151" s="4" t="n"/>
      <c r="D1151" s="4" t="n"/>
      <c r="E1151" s="4" t="n"/>
      <c r="F1151" s="4" t="n"/>
      <c r="G1151" s="4" t="n"/>
      <c r="H1151" s="4" t="n"/>
      <c r="I1151" s="9">
        <f>IF($H1151="","",IFERROR(INDEX('Settings'!$J$10:$J$39,MATCH($H1151,'Settings'!$I$10:$I$39,0)),""))</f>
        <v/>
      </c>
      <c r="J1151" s="6" t="n"/>
      <c r="K1151" s="8" t="n"/>
      <c r="L1151" s="8" t="n"/>
      <c r="M1151" s="14">
        <f>IF($A1151="","",$J1151*$K1151)</f>
        <v/>
      </c>
      <c r="N1151" s="14">
        <f>IF($A1151="","",$M1151-$L1151)</f>
        <v/>
      </c>
      <c r="O1151" s="4" t="n"/>
      <c r="P1151" s="15">
        <f>IF($A1151="","",DATE(YEAR($A1151),MONTH($A1151),1))</f>
        <v/>
      </c>
      <c r="Q1151" s="16">
        <f>IF($H1151="","",$J1151*IFERROR(INDEX('Settings'!$L$10:$L$39,MATCH($H1151,'Settings'!$I$10:$I$39,0)),0))</f>
        <v/>
      </c>
      <c r="R1151" s="17">
        <f>IF($A1151="","",$A1151-WEEKDAY($A1151,2)+1)</f>
        <v/>
      </c>
    </row>
    <row r="1152">
      <c r="A1152" s="5" t="n"/>
      <c r="B1152" s="4" t="n"/>
      <c r="C1152" s="4" t="n"/>
      <c r="D1152" s="4" t="n"/>
      <c r="E1152" s="4" t="n"/>
      <c r="F1152" s="4" t="n"/>
      <c r="G1152" s="4" t="n"/>
      <c r="H1152" s="4" t="n"/>
      <c r="I1152" s="9">
        <f>IF($H1152="","",IFERROR(INDEX('Settings'!$J$10:$J$39,MATCH($H1152,'Settings'!$I$10:$I$39,0)),""))</f>
        <v/>
      </c>
      <c r="J1152" s="6" t="n"/>
      <c r="K1152" s="8" t="n"/>
      <c r="L1152" s="8" t="n"/>
      <c r="M1152" s="14">
        <f>IF($A1152="","",$J1152*$K1152)</f>
        <v/>
      </c>
      <c r="N1152" s="14">
        <f>IF($A1152="","",$M1152-$L1152)</f>
        <v/>
      </c>
      <c r="O1152" s="4" t="n"/>
      <c r="P1152" s="15">
        <f>IF($A1152="","",DATE(YEAR($A1152),MONTH($A1152),1))</f>
        <v/>
      </c>
      <c r="Q1152" s="16">
        <f>IF($H1152="","",$J1152*IFERROR(INDEX('Settings'!$L$10:$L$39,MATCH($H1152,'Settings'!$I$10:$I$39,0)),0))</f>
        <v/>
      </c>
      <c r="R1152" s="17">
        <f>IF($A1152="","",$A1152-WEEKDAY($A1152,2)+1)</f>
        <v/>
      </c>
    </row>
    <row r="1153">
      <c r="A1153" s="5" t="n"/>
      <c r="B1153" s="4" t="n"/>
      <c r="C1153" s="4" t="n"/>
      <c r="D1153" s="4" t="n"/>
      <c r="E1153" s="4" t="n"/>
      <c r="F1153" s="4" t="n"/>
      <c r="G1153" s="4" t="n"/>
      <c r="H1153" s="4" t="n"/>
      <c r="I1153" s="9">
        <f>IF($H1153="","",IFERROR(INDEX('Settings'!$J$10:$J$39,MATCH($H1153,'Settings'!$I$10:$I$39,0)),""))</f>
        <v/>
      </c>
      <c r="J1153" s="6" t="n"/>
      <c r="K1153" s="8" t="n"/>
      <c r="L1153" s="8" t="n"/>
      <c r="M1153" s="14">
        <f>IF($A1153="","",$J1153*$K1153)</f>
        <v/>
      </c>
      <c r="N1153" s="14">
        <f>IF($A1153="","",$M1153-$L1153)</f>
        <v/>
      </c>
      <c r="O1153" s="4" t="n"/>
      <c r="P1153" s="15">
        <f>IF($A1153="","",DATE(YEAR($A1153),MONTH($A1153),1))</f>
        <v/>
      </c>
      <c r="Q1153" s="16">
        <f>IF($H1153="","",$J1153*IFERROR(INDEX('Settings'!$L$10:$L$39,MATCH($H1153,'Settings'!$I$10:$I$39,0)),0))</f>
        <v/>
      </c>
      <c r="R1153" s="17">
        <f>IF($A1153="","",$A1153-WEEKDAY($A1153,2)+1)</f>
        <v/>
      </c>
    </row>
    <row r="1154">
      <c r="A1154" s="5" t="n"/>
      <c r="B1154" s="4" t="n"/>
      <c r="C1154" s="4" t="n"/>
      <c r="D1154" s="4" t="n"/>
      <c r="E1154" s="4" t="n"/>
      <c r="F1154" s="4" t="n"/>
      <c r="G1154" s="4" t="n"/>
      <c r="H1154" s="4" t="n"/>
      <c r="I1154" s="9">
        <f>IF($H1154="","",IFERROR(INDEX('Settings'!$J$10:$J$39,MATCH($H1154,'Settings'!$I$10:$I$39,0)),""))</f>
        <v/>
      </c>
      <c r="J1154" s="6" t="n"/>
      <c r="K1154" s="8" t="n"/>
      <c r="L1154" s="8" t="n"/>
      <c r="M1154" s="14">
        <f>IF($A1154="","",$J1154*$K1154)</f>
        <v/>
      </c>
      <c r="N1154" s="14">
        <f>IF($A1154="","",$M1154-$L1154)</f>
        <v/>
      </c>
      <c r="O1154" s="4" t="n"/>
      <c r="P1154" s="15">
        <f>IF($A1154="","",DATE(YEAR($A1154),MONTH($A1154),1))</f>
        <v/>
      </c>
      <c r="Q1154" s="16">
        <f>IF($H1154="","",$J1154*IFERROR(INDEX('Settings'!$L$10:$L$39,MATCH($H1154,'Settings'!$I$10:$I$39,0)),0))</f>
        <v/>
      </c>
      <c r="R1154" s="17">
        <f>IF($A1154="","",$A1154-WEEKDAY($A1154,2)+1)</f>
        <v/>
      </c>
    </row>
    <row r="1155">
      <c r="A1155" s="5" t="n"/>
      <c r="B1155" s="4" t="n"/>
      <c r="C1155" s="4" t="n"/>
      <c r="D1155" s="4" t="n"/>
      <c r="E1155" s="4" t="n"/>
      <c r="F1155" s="4" t="n"/>
      <c r="G1155" s="4" t="n"/>
      <c r="H1155" s="4" t="n"/>
      <c r="I1155" s="9">
        <f>IF($H1155="","",IFERROR(INDEX('Settings'!$J$10:$J$39,MATCH($H1155,'Settings'!$I$10:$I$39,0)),""))</f>
        <v/>
      </c>
      <c r="J1155" s="6" t="n"/>
      <c r="K1155" s="8" t="n"/>
      <c r="L1155" s="8" t="n"/>
      <c r="M1155" s="14">
        <f>IF($A1155="","",$J1155*$K1155)</f>
        <v/>
      </c>
      <c r="N1155" s="14">
        <f>IF($A1155="","",$M1155-$L1155)</f>
        <v/>
      </c>
      <c r="O1155" s="4" t="n"/>
      <c r="P1155" s="15">
        <f>IF($A1155="","",DATE(YEAR($A1155),MONTH($A1155),1))</f>
        <v/>
      </c>
      <c r="Q1155" s="16">
        <f>IF($H1155="","",$J1155*IFERROR(INDEX('Settings'!$L$10:$L$39,MATCH($H1155,'Settings'!$I$10:$I$39,0)),0))</f>
        <v/>
      </c>
      <c r="R1155" s="17">
        <f>IF($A1155="","",$A1155-WEEKDAY($A1155,2)+1)</f>
        <v/>
      </c>
    </row>
    <row r="1156">
      <c r="A1156" s="5" t="n"/>
      <c r="B1156" s="4" t="n"/>
      <c r="C1156" s="4" t="n"/>
      <c r="D1156" s="4" t="n"/>
      <c r="E1156" s="4" t="n"/>
      <c r="F1156" s="4" t="n"/>
      <c r="G1156" s="4" t="n"/>
      <c r="H1156" s="4" t="n"/>
      <c r="I1156" s="9">
        <f>IF($H1156="","",IFERROR(INDEX('Settings'!$J$10:$J$39,MATCH($H1156,'Settings'!$I$10:$I$39,0)),""))</f>
        <v/>
      </c>
      <c r="J1156" s="6" t="n"/>
      <c r="K1156" s="8" t="n"/>
      <c r="L1156" s="8" t="n"/>
      <c r="M1156" s="14">
        <f>IF($A1156="","",$J1156*$K1156)</f>
        <v/>
      </c>
      <c r="N1156" s="14">
        <f>IF($A1156="","",$M1156-$L1156)</f>
        <v/>
      </c>
      <c r="O1156" s="4" t="n"/>
      <c r="P1156" s="15">
        <f>IF($A1156="","",DATE(YEAR($A1156),MONTH($A1156),1))</f>
        <v/>
      </c>
      <c r="Q1156" s="16">
        <f>IF($H1156="","",$J1156*IFERROR(INDEX('Settings'!$L$10:$L$39,MATCH($H1156,'Settings'!$I$10:$I$39,0)),0))</f>
        <v/>
      </c>
      <c r="R1156" s="17">
        <f>IF($A1156="","",$A1156-WEEKDAY($A1156,2)+1)</f>
        <v/>
      </c>
    </row>
    <row r="1157">
      <c r="A1157" s="5" t="n"/>
      <c r="B1157" s="4" t="n"/>
      <c r="C1157" s="4" t="n"/>
      <c r="D1157" s="4" t="n"/>
      <c r="E1157" s="4" t="n"/>
      <c r="F1157" s="4" t="n"/>
      <c r="G1157" s="4" t="n"/>
      <c r="H1157" s="4" t="n"/>
      <c r="I1157" s="9">
        <f>IF($H1157="","",IFERROR(INDEX('Settings'!$J$10:$J$39,MATCH($H1157,'Settings'!$I$10:$I$39,0)),""))</f>
        <v/>
      </c>
      <c r="J1157" s="6" t="n"/>
      <c r="K1157" s="8" t="n"/>
      <c r="L1157" s="8" t="n"/>
      <c r="M1157" s="14">
        <f>IF($A1157="","",$J1157*$K1157)</f>
        <v/>
      </c>
      <c r="N1157" s="14">
        <f>IF($A1157="","",$M1157-$L1157)</f>
        <v/>
      </c>
      <c r="O1157" s="4" t="n"/>
      <c r="P1157" s="15">
        <f>IF($A1157="","",DATE(YEAR($A1157),MONTH($A1157),1))</f>
        <v/>
      </c>
      <c r="Q1157" s="16">
        <f>IF($H1157="","",$J1157*IFERROR(INDEX('Settings'!$L$10:$L$39,MATCH($H1157,'Settings'!$I$10:$I$39,0)),0))</f>
        <v/>
      </c>
      <c r="R1157" s="17">
        <f>IF($A1157="","",$A1157-WEEKDAY($A1157,2)+1)</f>
        <v/>
      </c>
    </row>
    <row r="1158">
      <c r="A1158" s="5" t="n"/>
      <c r="B1158" s="4" t="n"/>
      <c r="C1158" s="4" t="n"/>
      <c r="D1158" s="4" t="n"/>
      <c r="E1158" s="4" t="n"/>
      <c r="F1158" s="4" t="n"/>
      <c r="G1158" s="4" t="n"/>
      <c r="H1158" s="4" t="n"/>
      <c r="I1158" s="9">
        <f>IF($H1158="","",IFERROR(INDEX('Settings'!$J$10:$J$39,MATCH($H1158,'Settings'!$I$10:$I$39,0)),""))</f>
        <v/>
      </c>
      <c r="J1158" s="6" t="n"/>
      <c r="K1158" s="8" t="n"/>
      <c r="L1158" s="8" t="n"/>
      <c r="M1158" s="14">
        <f>IF($A1158="","",$J1158*$K1158)</f>
        <v/>
      </c>
      <c r="N1158" s="14">
        <f>IF($A1158="","",$M1158-$L1158)</f>
        <v/>
      </c>
      <c r="O1158" s="4" t="n"/>
      <c r="P1158" s="15">
        <f>IF($A1158="","",DATE(YEAR($A1158),MONTH($A1158),1))</f>
        <v/>
      </c>
      <c r="Q1158" s="16">
        <f>IF($H1158="","",$J1158*IFERROR(INDEX('Settings'!$L$10:$L$39,MATCH($H1158,'Settings'!$I$10:$I$39,0)),0))</f>
        <v/>
      </c>
      <c r="R1158" s="17">
        <f>IF($A1158="","",$A1158-WEEKDAY($A1158,2)+1)</f>
        <v/>
      </c>
    </row>
    <row r="1159">
      <c r="A1159" s="5" t="n"/>
      <c r="B1159" s="4" t="n"/>
      <c r="C1159" s="4" t="n"/>
      <c r="D1159" s="4" t="n"/>
      <c r="E1159" s="4" t="n"/>
      <c r="F1159" s="4" t="n"/>
      <c r="G1159" s="4" t="n"/>
      <c r="H1159" s="4" t="n"/>
      <c r="I1159" s="9">
        <f>IF($H1159="","",IFERROR(INDEX('Settings'!$J$10:$J$39,MATCH($H1159,'Settings'!$I$10:$I$39,0)),""))</f>
        <v/>
      </c>
      <c r="J1159" s="6" t="n"/>
      <c r="K1159" s="8" t="n"/>
      <c r="L1159" s="8" t="n"/>
      <c r="M1159" s="14">
        <f>IF($A1159="","",$J1159*$K1159)</f>
        <v/>
      </c>
      <c r="N1159" s="14">
        <f>IF($A1159="","",$M1159-$L1159)</f>
        <v/>
      </c>
      <c r="O1159" s="4" t="n"/>
      <c r="P1159" s="15">
        <f>IF($A1159="","",DATE(YEAR($A1159),MONTH($A1159),1))</f>
        <v/>
      </c>
      <c r="Q1159" s="16">
        <f>IF($H1159="","",$J1159*IFERROR(INDEX('Settings'!$L$10:$L$39,MATCH($H1159,'Settings'!$I$10:$I$39,0)),0))</f>
        <v/>
      </c>
      <c r="R1159" s="17">
        <f>IF($A1159="","",$A1159-WEEKDAY($A1159,2)+1)</f>
        <v/>
      </c>
    </row>
    <row r="1160">
      <c r="A1160" s="5" t="n"/>
      <c r="B1160" s="4" t="n"/>
      <c r="C1160" s="4" t="n"/>
      <c r="D1160" s="4" t="n"/>
      <c r="E1160" s="4" t="n"/>
      <c r="F1160" s="4" t="n"/>
      <c r="G1160" s="4" t="n"/>
      <c r="H1160" s="4" t="n"/>
      <c r="I1160" s="9">
        <f>IF($H1160="","",IFERROR(INDEX('Settings'!$J$10:$J$39,MATCH($H1160,'Settings'!$I$10:$I$39,0)),""))</f>
        <v/>
      </c>
      <c r="J1160" s="6" t="n"/>
      <c r="K1160" s="8" t="n"/>
      <c r="L1160" s="8" t="n"/>
      <c r="M1160" s="14">
        <f>IF($A1160="","",$J1160*$K1160)</f>
        <v/>
      </c>
      <c r="N1160" s="14">
        <f>IF($A1160="","",$M1160-$L1160)</f>
        <v/>
      </c>
      <c r="O1160" s="4" t="n"/>
      <c r="P1160" s="15">
        <f>IF($A1160="","",DATE(YEAR($A1160),MONTH($A1160),1))</f>
        <v/>
      </c>
      <c r="Q1160" s="16">
        <f>IF($H1160="","",$J1160*IFERROR(INDEX('Settings'!$L$10:$L$39,MATCH($H1160,'Settings'!$I$10:$I$39,0)),0))</f>
        <v/>
      </c>
      <c r="R1160" s="17">
        <f>IF($A1160="","",$A1160-WEEKDAY($A1160,2)+1)</f>
        <v/>
      </c>
    </row>
    <row r="1161">
      <c r="A1161" s="5" t="n"/>
      <c r="B1161" s="4" t="n"/>
      <c r="C1161" s="4" t="n"/>
      <c r="D1161" s="4" t="n"/>
      <c r="E1161" s="4" t="n"/>
      <c r="F1161" s="4" t="n"/>
      <c r="G1161" s="4" t="n"/>
      <c r="H1161" s="4" t="n"/>
      <c r="I1161" s="9">
        <f>IF($H1161="","",IFERROR(INDEX('Settings'!$J$10:$J$39,MATCH($H1161,'Settings'!$I$10:$I$39,0)),""))</f>
        <v/>
      </c>
      <c r="J1161" s="6" t="n"/>
      <c r="K1161" s="8" t="n"/>
      <c r="L1161" s="8" t="n"/>
      <c r="M1161" s="14">
        <f>IF($A1161="","",$J1161*$K1161)</f>
        <v/>
      </c>
      <c r="N1161" s="14">
        <f>IF($A1161="","",$M1161-$L1161)</f>
        <v/>
      </c>
      <c r="O1161" s="4" t="n"/>
      <c r="P1161" s="15">
        <f>IF($A1161="","",DATE(YEAR($A1161),MONTH($A1161),1))</f>
        <v/>
      </c>
      <c r="Q1161" s="16">
        <f>IF($H1161="","",$J1161*IFERROR(INDEX('Settings'!$L$10:$L$39,MATCH($H1161,'Settings'!$I$10:$I$39,0)),0))</f>
        <v/>
      </c>
      <c r="R1161" s="17">
        <f>IF($A1161="","",$A1161-WEEKDAY($A1161,2)+1)</f>
        <v/>
      </c>
    </row>
    <row r="1162">
      <c r="A1162" s="5" t="n"/>
      <c r="B1162" s="4" t="n"/>
      <c r="C1162" s="4" t="n"/>
      <c r="D1162" s="4" t="n"/>
      <c r="E1162" s="4" t="n"/>
      <c r="F1162" s="4" t="n"/>
      <c r="G1162" s="4" t="n"/>
      <c r="H1162" s="4" t="n"/>
      <c r="I1162" s="9">
        <f>IF($H1162="","",IFERROR(INDEX('Settings'!$J$10:$J$39,MATCH($H1162,'Settings'!$I$10:$I$39,0)),""))</f>
        <v/>
      </c>
      <c r="J1162" s="6" t="n"/>
      <c r="K1162" s="8" t="n"/>
      <c r="L1162" s="8" t="n"/>
      <c r="M1162" s="14">
        <f>IF($A1162="","",$J1162*$K1162)</f>
        <v/>
      </c>
      <c r="N1162" s="14">
        <f>IF($A1162="","",$M1162-$L1162)</f>
        <v/>
      </c>
      <c r="O1162" s="4" t="n"/>
      <c r="P1162" s="15">
        <f>IF($A1162="","",DATE(YEAR($A1162),MONTH($A1162),1))</f>
        <v/>
      </c>
      <c r="Q1162" s="16">
        <f>IF($H1162="","",$J1162*IFERROR(INDEX('Settings'!$L$10:$L$39,MATCH($H1162,'Settings'!$I$10:$I$39,0)),0))</f>
        <v/>
      </c>
      <c r="R1162" s="17">
        <f>IF($A1162="","",$A1162-WEEKDAY($A1162,2)+1)</f>
        <v/>
      </c>
    </row>
    <row r="1163">
      <c r="A1163" s="5" t="n"/>
      <c r="B1163" s="4" t="n"/>
      <c r="C1163" s="4" t="n"/>
      <c r="D1163" s="4" t="n"/>
      <c r="E1163" s="4" t="n"/>
      <c r="F1163" s="4" t="n"/>
      <c r="G1163" s="4" t="n"/>
      <c r="H1163" s="4" t="n"/>
      <c r="I1163" s="9">
        <f>IF($H1163="","",IFERROR(INDEX('Settings'!$J$10:$J$39,MATCH($H1163,'Settings'!$I$10:$I$39,0)),""))</f>
        <v/>
      </c>
      <c r="J1163" s="6" t="n"/>
      <c r="K1163" s="8" t="n"/>
      <c r="L1163" s="8" t="n"/>
      <c r="M1163" s="14">
        <f>IF($A1163="","",$J1163*$K1163)</f>
        <v/>
      </c>
      <c r="N1163" s="14">
        <f>IF($A1163="","",$M1163-$L1163)</f>
        <v/>
      </c>
      <c r="O1163" s="4" t="n"/>
      <c r="P1163" s="15">
        <f>IF($A1163="","",DATE(YEAR($A1163),MONTH($A1163),1))</f>
        <v/>
      </c>
      <c r="Q1163" s="16">
        <f>IF($H1163="","",$J1163*IFERROR(INDEX('Settings'!$L$10:$L$39,MATCH($H1163,'Settings'!$I$10:$I$39,0)),0))</f>
        <v/>
      </c>
      <c r="R1163" s="17">
        <f>IF($A1163="","",$A1163-WEEKDAY($A1163,2)+1)</f>
        <v/>
      </c>
    </row>
    <row r="1164">
      <c r="A1164" s="5" t="n"/>
      <c r="B1164" s="4" t="n"/>
      <c r="C1164" s="4" t="n"/>
      <c r="D1164" s="4" t="n"/>
      <c r="E1164" s="4" t="n"/>
      <c r="F1164" s="4" t="n"/>
      <c r="G1164" s="4" t="n"/>
      <c r="H1164" s="4" t="n"/>
      <c r="I1164" s="9">
        <f>IF($H1164="","",IFERROR(INDEX('Settings'!$J$10:$J$39,MATCH($H1164,'Settings'!$I$10:$I$39,0)),""))</f>
        <v/>
      </c>
      <c r="J1164" s="6" t="n"/>
      <c r="K1164" s="8" t="n"/>
      <c r="L1164" s="8" t="n"/>
      <c r="M1164" s="14">
        <f>IF($A1164="","",$J1164*$K1164)</f>
        <v/>
      </c>
      <c r="N1164" s="14">
        <f>IF($A1164="","",$M1164-$L1164)</f>
        <v/>
      </c>
      <c r="O1164" s="4" t="n"/>
      <c r="P1164" s="15">
        <f>IF($A1164="","",DATE(YEAR($A1164),MONTH($A1164),1))</f>
        <v/>
      </c>
      <c r="Q1164" s="16">
        <f>IF($H1164="","",$J1164*IFERROR(INDEX('Settings'!$L$10:$L$39,MATCH($H1164,'Settings'!$I$10:$I$39,0)),0))</f>
        <v/>
      </c>
      <c r="R1164" s="17">
        <f>IF($A1164="","",$A1164-WEEKDAY($A1164,2)+1)</f>
        <v/>
      </c>
    </row>
    <row r="1165">
      <c r="A1165" s="5" t="n"/>
      <c r="B1165" s="4" t="n"/>
      <c r="C1165" s="4" t="n"/>
      <c r="D1165" s="4" t="n"/>
      <c r="E1165" s="4" t="n"/>
      <c r="F1165" s="4" t="n"/>
      <c r="G1165" s="4" t="n"/>
      <c r="H1165" s="4" t="n"/>
      <c r="I1165" s="9">
        <f>IF($H1165="","",IFERROR(INDEX('Settings'!$J$10:$J$39,MATCH($H1165,'Settings'!$I$10:$I$39,0)),""))</f>
        <v/>
      </c>
      <c r="J1165" s="6" t="n"/>
      <c r="K1165" s="8" t="n"/>
      <c r="L1165" s="8" t="n"/>
      <c r="M1165" s="14">
        <f>IF($A1165="","",$J1165*$K1165)</f>
        <v/>
      </c>
      <c r="N1165" s="14">
        <f>IF($A1165="","",$M1165-$L1165)</f>
        <v/>
      </c>
      <c r="O1165" s="4" t="n"/>
      <c r="P1165" s="15">
        <f>IF($A1165="","",DATE(YEAR($A1165),MONTH($A1165),1))</f>
        <v/>
      </c>
      <c r="Q1165" s="16">
        <f>IF($H1165="","",$J1165*IFERROR(INDEX('Settings'!$L$10:$L$39,MATCH($H1165,'Settings'!$I$10:$I$39,0)),0))</f>
        <v/>
      </c>
      <c r="R1165" s="17">
        <f>IF($A1165="","",$A1165-WEEKDAY($A1165,2)+1)</f>
        <v/>
      </c>
    </row>
    <row r="1166">
      <c r="A1166" s="5" t="n"/>
      <c r="B1166" s="4" t="n"/>
      <c r="C1166" s="4" t="n"/>
      <c r="D1166" s="4" t="n"/>
      <c r="E1166" s="4" t="n"/>
      <c r="F1166" s="4" t="n"/>
      <c r="G1166" s="4" t="n"/>
      <c r="H1166" s="4" t="n"/>
      <c r="I1166" s="9">
        <f>IF($H1166="","",IFERROR(INDEX('Settings'!$J$10:$J$39,MATCH($H1166,'Settings'!$I$10:$I$39,0)),""))</f>
        <v/>
      </c>
      <c r="J1166" s="6" t="n"/>
      <c r="K1166" s="8" t="n"/>
      <c r="L1166" s="8" t="n"/>
      <c r="M1166" s="14">
        <f>IF($A1166="","",$J1166*$K1166)</f>
        <v/>
      </c>
      <c r="N1166" s="14">
        <f>IF($A1166="","",$M1166-$L1166)</f>
        <v/>
      </c>
      <c r="O1166" s="4" t="n"/>
      <c r="P1166" s="15">
        <f>IF($A1166="","",DATE(YEAR($A1166),MONTH($A1166),1))</f>
        <v/>
      </c>
      <c r="Q1166" s="16">
        <f>IF($H1166="","",$J1166*IFERROR(INDEX('Settings'!$L$10:$L$39,MATCH($H1166,'Settings'!$I$10:$I$39,0)),0))</f>
        <v/>
      </c>
      <c r="R1166" s="17">
        <f>IF($A1166="","",$A1166-WEEKDAY($A1166,2)+1)</f>
        <v/>
      </c>
    </row>
    <row r="1167">
      <c r="A1167" s="5" t="n"/>
      <c r="B1167" s="4" t="n"/>
      <c r="C1167" s="4" t="n"/>
      <c r="D1167" s="4" t="n"/>
      <c r="E1167" s="4" t="n"/>
      <c r="F1167" s="4" t="n"/>
      <c r="G1167" s="4" t="n"/>
      <c r="H1167" s="4" t="n"/>
      <c r="I1167" s="9">
        <f>IF($H1167="","",IFERROR(INDEX('Settings'!$J$10:$J$39,MATCH($H1167,'Settings'!$I$10:$I$39,0)),""))</f>
        <v/>
      </c>
      <c r="J1167" s="6" t="n"/>
      <c r="K1167" s="8" t="n"/>
      <c r="L1167" s="8" t="n"/>
      <c r="M1167" s="14">
        <f>IF($A1167="","",$J1167*$K1167)</f>
        <v/>
      </c>
      <c r="N1167" s="14">
        <f>IF($A1167="","",$M1167-$L1167)</f>
        <v/>
      </c>
      <c r="O1167" s="4" t="n"/>
      <c r="P1167" s="15">
        <f>IF($A1167="","",DATE(YEAR($A1167),MONTH($A1167),1))</f>
        <v/>
      </c>
      <c r="Q1167" s="16">
        <f>IF($H1167="","",$J1167*IFERROR(INDEX('Settings'!$L$10:$L$39,MATCH($H1167,'Settings'!$I$10:$I$39,0)),0))</f>
        <v/>
      </c>
      <c r="R1167" s="17">
        <f>IF($A1167="","",$A1167-WEEKDAY($A1167,2)+1)</f>
        <v/>
      </c>
    </row>
    <row r="1168">
      <c r="A1168" s="5" t="n"/>
      <c r="B1168" s="4" t="n"/>
      <c r="C1168" s="4" t="n"/>
      <c r="D1168" s="4" t="n"/>
      <c r="E1168" s="4" t="n"/>
      <c r="F1168" s="4" t="n"/>
      <c r="G1168" s="4" t="n"/>
      <c r="H1168" s="4" t="n"/>
      <c r="I1168" s="9">
        <f>IF($H1168="","",IFERROR(INDEX('Settings'!$J$10:$J$39,MATCH($H1168,'Settings'!$I$10:$I$39,0)),""))</f>
        <v/>
      </c>
      <c r="J1168" s="6" t="n"/>
      <c r="K1168" s="8" t="n"/>
      <c r="L1168" s="8" t="n"/>
      <c r="M1168" s="14">
        <f>IF($A1168="","",$J1168*$K1168)</f>
        <v/>
      </c>
      <c r="N1168" s="14">
        <f>IF($A1168="","",$M1168-$L1168)</f>
        <v/>
      </c>
      <c r="O1168" s="4" t="n"/>
      <c r="P1168" s="15">
        <f>IF($A1168="","",DATE(YEAR($A1168),MONTH($A1168),1))</f>
        <v/>
      </c>
      <c r="Q1168" s="16">
        <f>IF($H1168="","",$J1168*IFERROR(INDEX('Settings'!$L$10:$L$39,MATCH($H1168,'Settings'!$I$10:$I$39,0)),0))</f>
        <v/>
      </c>
      <c r="R1168" s="17">
        <f>IF($A1168="","",$A1168-WEEKDAY($A1168,2)+1)</f>
        <v/>
      </c>
    </row>
    <row r="1169">
      <c r="A1169" s="5" t="n"/>
      <c r="B1169" s="4" t="n"/>
      <c r="C1169" s="4" t="n"/>
      <c r="D1169" s="4" t="n"/>
      <c r="E1169" s="4" t="n"/>
      <c r="F1169" s="4" t="n"/>
      <c r="G1169" s="4" t="n"/>
      <c r="H1169" s="4" t="n"/>
      <c r="I1169" s="9">
        <f>IF($H1169="","",IFERROR(INDEX('Settings'!$J$10:$J$39,MATCH($H1169,'Settings'!$I$10:$I$39,0)),""))</f>
        <v/>
      </c>
      <c r="J1169" s="6" t="n"/>
      <c r="K1169" s="8" t="n"/>
      <c r="L1169" s="8" t="n"/>
      <c r="M1169" s="14">
        <f>IF($A1169="","",$J1169*$K1169)</f>
        <v/>
      </c>
      <c r="N1169" s="14">
        <f>IF($A1169="","",$M1169-$L1169)</f>
        <v/>
      </c>
      <c r="O1169" s="4" t="n"/>
      <c r="P1169" s="15">
        <f>IF($A1169="","",DATE(YEAR($A1169),MONTH($A1169),1))</f>
        <v/>
      </c>
      <c r="Q1169" s="16">
        <f>IF($H1169="","",$J1169*IFERROR(INDEX('Settings'!$L$10:$L$39,MATCH($H1169,'Settings'!$I$10:$I$39,0)),0))</f>
        <v/>
      </c>
      <c r="R1169" s="17">
        <f>IF($A1169="","",$A1169-WEEKDAY($A1169,2)+1)</f>
        <v/>
      </c>
    </row>
    <row r="1170">
      <c r="A1170" s="5" t="n"/>
      <c r="B1170" s="4" t="n"/>
      <c r="C1170" s="4" t="n"/>
      <c r="D1170" s="4" t="n"/>
      <c r="E1170" s="4" t="n"/>
      <c r="F1170" s="4" t="n"/>
      <c r="G1170" s="4" t="n"/>
      <c r="H1170" s="4" t="n"/>
      <c r="I1170" s="9">
        <f>IF($H1170="","",IFERROR(INDEX('Settings'!$J$10:$J$39,MATCH($H1170,'Settings'!$I$10:$I$39,0)),""))</f>
        <v/>
      </c>
      <c r="J1170" s="6" t="n"/>
      <c r="K1170" s="8" t="n"/>
      <c r="L1170" s="8" t="n"/>
      <c r="M1170" s="14">
        <f>IF($A1170="","",$J1170*$K1170)</f>
        <v/>
      </c>
      <c r="N1170" s="14">
        <f>IF($A1170="","",$M1170-$L1170)</f>
        <v/>
      </c>
      <c r="O1170" s="4" t="n"/>
      <c r="P1170" s="15">
        <f>IF($A1170="","",DATE(YEAR($A1170),MONTH($A1170),1))</f>
        <v/>
      </c>
      <c r="Q1170" s="16">
        <f>IF($H1170="","",$J1170*IFERROR(INDEX('Settings'!$L$10:$L$39,MATCH($H1170,'Settings'!$I$10:$I$39,0)),0))</f>
        <v/>
      </c>
      <c r="R1170" s="17">
        <f>IF($A1170="","",$A1170-WEEKDAY($A1170,2)+1)</f>
        <v/>
      </c>
    </row>
    <row r="1171">
      <c r="A1171" s="5" t="n"/>
      <c r="B1171" s="4" t="n"/>
      <c r="C1171" s="4" t="n"/>
      <c r="D1171" s="4" t="n"/>
      <c r="E1171" s="4" t="n"/>
      <c r="F1171" s="4" t="n"/>
      <c r="G1171" s="4" t="n"/>
      <c r="H1171" s="4" t="n"/>
      <c r="I1171" s="9">
        <f>IF($H1171="","",IFERROR(INDEX('Settings'!$J$10:$J$39,MATCH($H1171,'Settings'!$I$10:$I$39,0)),""))</f>
        <v/>
      </c>
      <c r="J1171" s="6" t="n"/>
      <c r="K1171" s="8" t="n"/>
      <c r="L1171" s="8" t="n"/>
      <c r="M1171" s="14">
        <f>IF($A1171="","",$J1171*$K1171)</f>
        <v/>
      </c>
      <c r="N1171" s="14">
        <f>IF($A1171="","",$M1171-$L1171)</f>
        <v/>
      </c>
      <c r="O1171" s="4" t="n"/>
      <c r="P1171" s="15">
        <f>IF($A1171="","",DATE(YEAR($A1171),MONTH($A1171),1))</f>
        <v/>
      </c>
      <c r="Q1171" s="16">
        <f>IF($H1171="","",$J1171*IFERROR(INDEX('Settings'!$L$10:$L$39,MATCH($H1171,'Settings'!$I$10:$I$39,0)),0))</f>
        <v/>
      </c>
      <c r="R1171" s="17">
        <f>IF($A1171="","",$A1171-WEEKDAY($A1171,2)+1)</f>
        <v/>
      </c>
    </row>
    <row r="1172">
      <c r="A1172" s="5" t="n"/>
      <c r="B1172" s="4" t="n"/>
      <c r="C1172" s="4" t="n"/>
      <c r="D1172" s="4" t="n"/>
      <c r="E1172" s="4" t="n"/>
      <c r="F1172" s="4" t="n"/>
      <c r="G1172" s="4" t="n"/>
      <c r="H1172" s="4" t="n"/>
      <c r="I1172" s="9">
        <f>IF($H1172="","",IFERROR(INDEX('Settings'!$J$10:$J$39,MATCH($H1172,'Settings'!$I$10:$I$39,0)),""))</f>
        <v/>
      </c>
      <c r="J1172" s="6" t="n"/>
      <c r="K1172" s="8" t="n"/>
      <c r="L1172" s="8" t="n"/>
      <c r="M1172" s="14">
        <f>IF($A1172="","",$J1172*$K1172)</f>
        <v/>
      </c>
      <c r="N1172" s="14">
        <f>IF($A1172="","",$M1172-$L1172)</f>
        <v/>
      </c>
      <c r="O1172" s="4" t="n"/>
      <c r="P1172" s="15">
        <f>IF($A1172="","",DATE(YEAR($A1172),MONTH($A1172),1))</f>
        <v/>
      </c>
      <c r="Q1172" s="16">
        <f>IF($H1172="","",$J1172*IFERROR(INDEX('Settings'!$L$10:$L$39,MATCH($H1172,'Settings'!$I$10:$I$39,0)),0))</f>
        <v/>
      </c>
      <c r="R1172" s="17">
        <f>IF($A1172="","",$A1172-WEEKDAY($A1172,2)+1)</f>
        <v/>
      </c>
    </row>
    <row r="1173">
      <c r="A1173" s="5" t="n"/>
      <c r="B1173" s="4" t="n"/>
      <c r="C1173" s="4" t="n"/>
      <c r="D1173" s="4" t="n"/>
      <c r="E1173" s="4" t="n"/>
      <c r="F1173" s="4" t="n"/>
      <c r="G1173" s="4" t="n"/>
      <c r="H1173" s="4" t="n"/>
      <c r="I1173" s="9">
        <f>IF($H1173="","",IFERROR(INDEX('Settings'!$J$10:$J$39,MATCH($H1173,'Settings'!$I$10:$I$39,0)),""))</f>
        <v/>
      </c>
      <c r="J1173" s="6" t="n"/>
      <c r="K1173" s="8" t="n"/>
      <c r="L1173" s="8" t="n"/>
      <c r="M1173" s="14">
        <f>IF($A1173="","",$J1173*$K1173)</f>
        <v/>
      </c>
      <c r="N1173" s="14">
        <f>IF($A1173="","",$M1173-$L1173)</f>
        <v/>
      </c>
      <c r="O1173" s="4" t="n"/>
      <c r="P1173" s="15">
        <f>IF($A1173="","",DATE(YEAR($A1173),MONTH($A1173),1))</f>
        <v/>
      </c>
      <c r="Q1173" s="16">
        <f>IF($H1173="","",$J1173*IFERROR(INDEX('Settings'!$L$10:$L$39,MATCH($H1173,'Settings'!$I$10:$I$39,0)),0))</f>
        <v/>
      </c>
      <c r="R1173" s="17">
        <f>IF($A1173="","",$A1173-WEEKDAY($A1173,2)+1)</f>
        <v/>
      </c>
    </row>
    <row r="1174">
      <c r="A1174" s="5" t="n"/>
      <c r="B1174" s="4" t="n"/>
      <c r="C1174" s="4" t="n"/>
      <c r="D1174" s="4" t="n"/>
      <c r="E1174" s="4" t="n"/>
      <c r="F1174" s="4" t="n"/>
      <c r="G1174" s="4" t="n"/>
      <c r="H1174" s="4" t="n"/>
      <c r="I1174" s="9">
        <f>IF($H1174="","",IFERROR(INDEX('Settings'!$J$10:$J$39,MATCH($H1174,'Settings'!$I$10:$I$39,0)),""))</f>
        <v/>
      </c>
      <c r="J1174" s="6" t="n"/>
      <c r="K1174" s="8" t="n"/>
      <c r="L1174" s="8" t="n"/>
      <c r="M1174" s="14">
        <f>IF($A1174="","",$J1174*$K1174)</f>
        <v/>
      </c>
      <c r="N1174" s="14">
        <f>IF($A1174="","",$M1174-$L1174)</f>
        <v/>
      </c>
      <c r="O1174" s="4" t="n"/>
      <c r="P1174" s="15">
        <f>IF($A1174="","",DATE(YEAR($A1174),MONTH($A1174),1))</f>
        <v/>
      </c>
      <c r="Q1174" s="16">
        <f>IF($H1174="","",$J1174*IFERROR(INDEX('Settings'!$L$10:$L$39,MATCH($H1174,'Settings'!$I$10:$I$39,0)),0))</f>
        <v/>
      </c>
      <c r="R1174" s="17">
        <f>IF($A1174="","",$A1174-WEEKDAY($A1174,2)+1)</f>
        <v/>
      </c>
    </row>
    <row r="1175">
      <c r="A1175" s="5" t="n"/>
      <c r="B1175" s="4" t="n"/>
      <c r="C1175" s="4" t="n"/>
      <c r="D1175" s="4" t="n"/>
      <c r="E1175" s="4" t="n"/>
      <c r="F1175" s="4" t="n"/>
      <c r="G1175" s="4" t="n"/>
      <c r="H1175" s="4" t="n"/>
      <c r="I1175" s="9">
        <f>IF($H1175="","",IFERROR(INDEX('Settings'!$J$10:$J$39,MATCH($H1175,'Settings'!$I$10:$I$39,0)),""))</f>
        <v/>
      </c>
      <c r="J1175" s="6" t="n"/>
      <c r="K1175" s="8" t="n"/>
      <c r="L1175" s="8" t="n"/>
      <c r="M1175" s="14">
        <f>IF($A1175="","",$J1175*$K1175)</f>
        <v/>
      </c>
      <c r="N1175" s="14">
        <f>IF($A1175="","",$M1175-$L1175)</f>
        <v/>
      </c>
      <c r="O1175" s="4" t="n"/>
      <c r="P1175" s="15">
        <f>IF($A1175="","",DATE(YEAR($A1175),MONTH($A1175),1))</f>
        <v/>
      </c>
      <c r="Q1175" s="16">
        <f>IF($H1175="","",$J1175*IFERROR(INDEX('Settings'!$L$10:$L$39,MATCH($H1175,'Settings'!$I$10:$I$39,0)),0))</f>
        <v/>
      </c>
      <c r="R1175" s="17">
        <f>IF($A1175="","",$A1175-WEEKDAY($A1175,2)+1)</f>
        <v/>
      </c>
    </row>
    <row r="1176">
      <c r="A1176" s="5" t="n"/>
      <c r="B1176" s="4" t="n"/>
      <c r="C1176" s="4" t="n"/>
      <c r="D1176" s="4" t="n"/>
      <c r="E1176" s="4" t="n"/>
      <c r="F1176" s="4" t="n"/>
      <c r="G1176" s="4" t="n"/>
      <c r="H1176" s="4" t="n"/>
      <c r="I1176" s="9">
        <f>IF($H1176="","",IFERROR(INDEX('Settings'!$J$10:$J$39,MATCH($H1176,'Settings'!$I$10:$I$39,0)),""))</f>
        <v/>
      </c>
      <c r="J1176" s="6" t="n"/>
      <c r="K1176" s="8" t="n"/>
      <c r="L1176" s="8" t="n"/>
      <c r="M1176" s="14">
        <f>IF($A1176="","",$J1176*$K1176)</f>
        <v/>
      </c>
      <c r="N1176" s="14">
        <f>IF($A1176="","",$M1176-$L1176)</f>
        <v/>
      </c>
      <c r="O1176" s="4" t="n"/>
      <c r="P1176" s="15">
        <f>IF($A1176="","",DATE(YEAR($A1176),MONTH($A1176),1))</f>
        <v/>
      </c>
      <c r="Q1176" s="16">
        <f>IF($H1176="","",$J1176*IFERROR(INDEX('Settings'!$L$10:$L$39,MATCH($H1176,'Settings'!$I$10:$I$39,0)),0))</f>
        <v/>
      </c>
      <c r="R1176" s="17">
        <f>IF($A1176="","",$A1176-WEEKDAY($A1176,2)+1)</f>
        <v/>
      </c>
    </row>
    <row r="1177">
      <c r="A1177" s="5" t="n"/>
      <c r="B1177" s="4" t="n"/>
      <c r="C1177" s="4" t="n"/>
      <c r="D1177" s="4" t="n"/>
      <c r="E1177" s="4" t="n"/>
      <c r="F1177" s="4" t="n"/>
      <c r="G1177" s="4" t="n"/>
      <c r="H1177" s="4" t="n"/>
      <c r="I1177" s="9">
        <f>IF($H1177="","",IFERROR(INDEX('Settings'!$J$10:$J$39,MATCH($H1177,'Settings'!$I$10:$I$39,0)),""))</f>
        <v/>
      </c>
      <c r="J1177" s="6" t="n"/>
      <c r="K1177" s="8" t="n"/>
      <c r="L1177" s="8" t="n"/>
      <c r="M1177" s="14">
        <f>IF($A1177="","",$J1177*$K1177)</f>
        <v/>
      </c>
      <c r="N1177" s="14">
        <f>IF($A1177="","",$M1177-$L1177)</f>
        <v/>
      </c>
      <c r="O1177" s="4" t="n"/>
      <c r="P1177" s="15">
        <f>IF($A1177="","",DATE(YEAR($A1177),MONTH($A1177),1))</f>
        <v/>
      </c>
      <c r="Q1177" s="16">
        <f>IF($H1177="","",$J1177*IFERROR(INDEX('Settings'!$L$10:$L$39,MATCH($H1177,'Settings'!$I$10:$I$39,0)),0))</f>
        <v/>
      </c>
      <c r="R1177" s="17">
        <f>IF($A1177="","",$A1177-WEEKDAY($A1177,2)+1)</f>
        <v/>
      </c>
    </row>
    <row r="1178">
      <c r="A1178" s="5" t="n"/>
      <c r="B1178" s="4" t="n"/>
      <c r="C1178" s="4" t="n"/>
      <c r="D1178" s="4" t="n"/>
      <c r="E1178" s="4" t="n"/>
      <c r="F1178" s="4" t="n"/>
      <c r="G1178" s="4" t="n"/>
      <c r="H1178" s="4" t="n"/>
      <c r="I1178" s="9">
        <f>IF($H1178="","",IFERROR(INDEX('Settings'!$J$10:$J$39,MATCH($H1178,'Settings'!$I$10:$I$39,0)),""))</f>
        <v/>
      </c>
      <c r="J1178" s="6" t="n"/>
      <c r="K1178" s="8" t="n"/>
      <c r="L1178" s="8" t="n"/>
      <c r="M1178" s="14">
        <f>IF($A1178="","",$J1178*$K1178)</f>
        <v/>
      </c>
      <c r="N1178" s="14">
        <f>IF($A1178="","",$M1178-$L1178)</f>
        <v/>
      </c>
      <c r="O1178" s="4" t="n"/>
      <c r="P1178" s="15">
        <f>IF($A1178="","",DATE(YEAR($A1178),MONTH($A1178),1))</f>
        <v/>
      </c>
      <c r="Q1178" s="16">
        <f>IF($H1178="","",$J1178*IFERROR(INDEX('Settings'!$L$10:$L$39,MATCH($H1178,'Settings'!$I$10:$I$39,0)),0))</f>
        <v/>
      </c>
      <c r="R1178" s="17">
        <f>IF($A1178="","",$A1178-WEEKDAY($A1178,2)+1)</f>
        <v/>
      </c>
    </row>
    <row r="1179">
      <c r="A1179" s="5" t="n"/>
      <c r="B1179" s="4" t="n"/>
      <c r="C1179" s="4" t="n"/>
      <c r="D1179" s="4" t="n"/>
      <c r="E1179" s="4" t="n"/>
      <c r="F1179" s="4" t="n"/>
      <c r="G1179" s="4" t="n"/>
      <c r="H1179" s="4" t="n"/>
      <c r="I1179" s="9">
        <f>IF($H1179="","",IFERROR(INDEX('Settings'!$J$10:$J$39,MATCH($H1179,'Settings'!$I$10:$I$39,0)),""))</f>
        <v/>
      </c>
      <c r="J1179" s="6" t="n"/>
      <c r="K1179" s="8" t="n"/>
      <c r="L1179" s="8" t="n"/>
      <c r="M1179" s="14">
        <f>IF($A1179="","",$J1179*$K1179)</f>
        <v/>
      </c>
      <c r="N1179" s="14">
        <f>IF($A1179="","",$M1179-$L1179)</f>
        <v/>
      </c>
      <c r="O1179" s="4" t="n"/>
      <c r="P1179" s="15">
        <f>IF($A1179="","",DATE(YEAR($A1179),MONTH($A1179),1))</f>
        <v/>
      </c>
      <c r="Q1179" s="16">
        <f>IF($H1179="","",$J1179*IFERROR(INDEX('Settings'!$L$10:$L$39,MATCH($H1179,'Settings'!$I$10:$I$39,0)),0))</f>
        <v/>
      </c>
      <c r="R1179" s="17">
        <f>IF($A1179="","",$A1179-WEEKDAY($A1179,2)+1)</f>
        <v/>
      </c>
    </row>
    <row r="1180">
      <c r="A1180" s="5" t="n"/>
      <c r="B1180" s="4" t="n"/>
      <c r="C1180" s="4" t="n"/>
      <c r="D1180" s="4" t="n"/>
      <c r="E1180" s="4" t="n"/>
      <c r="F1180" s="4" t="n"/>
      <c r="G1180" s="4" t="n"/>
      <c r="H1180" s="4" t="n"/>
      <c r="I1180" s="9">
        <f>IF($H1180="","",IFERROR(INDEX('Settings'!$J$10:$J$39,MATCH($H1180,'Settings'!$I$10:$I$39,0)),""))</f>
        <v/>
      </c>
      <c r="J1180" s="6" t="n"/>
      <c r="K1180" s="8" t="n"/>
      <c r="L1180" s="8" t="n"/>
      <c r="M1180" s="14">
        <f>IF($A1180="","",$J1180*$K1180)</f>
        <v/>
      </c>
      <c r="N1180" s="14">
        <f>IF($A1180="","",$M1180-$L1180)</f>
        <v/>
      </c>
      <c r="O1180" s="4" t="n"/>
      <c r="P1180" s="15">
        <f>IF($A1180="","",DATE(YEAR($A1180),MONTH($A1180),1))</f>
        <v/>
      </c>
      <c r="Q1180" s="16">
        <f>IF($H1180="","",$J1180*IFERROR(INDEX('Settings'!$L$10:$L$39,MATCH($H1180,'Settings'!$I$10:$I$39,0)),0))</f>
        <v/>
      </c>
      <c r="R1180" s="17">
        <f>IF($A1180="","",$A1180-WEEKDAY($A1180,2)+1)</f>
        <v/>
      </c>
    </row>
    <row r="1181">
      <c r="A1181" s="5" t="n"/>
      <c r="B1181" s="4" t="n"/>
      <c r="C1181" s="4" t="n"/>
      <c r="D1181" s="4" t="n"/>
      <c r="E1181" s="4" t="n"/>
      <c r="F1181" s="4" t="n"/>
      <c r="G1181" s="4" t="n"/>
      <c r="H1181" s="4" t="n"/>
      <c r="I1181" s="9">
        <f>IF($H1181="","",IFERROR(INDEX('Settings'!$J$10:$J$39,MATCH($H1181,'Settings'!$I$10:$I$39,0)),""))</f>
        <v/>
      </c>
      <c r="J1181" s="6" t="n"/>
      <c r="K1181" s="8" t="n"/>
      <c r="L1181" s="8" t="n"/>
      <c r="M1181" s="14">
        <f>IF($A1181="","",$J1181*$K1181)</f>
        <v/>
      </c>
      <c r="N1181" s="14">
        <f>IF($A1181="","",$M1181-$L1181)</f>
        <v/>
      </c>
      <c r="O1181" s="4" t="n"/>
      <c r="P1181" s="15">
        <f>IF($A1181="","",DATE(YEAR($A1181),MONTH($A1181),1))</f>
        <v/>
      </c>
      <c r="Q1181" s="16">
        <f>IF($H1181="","",$J1181*IFERROR(INDEX('Settings'!$L$10:$L$39,MATCH($H1181,'Settings'!$I$10:$I$39,0)),0))</f>
        <v/>
      </c>
      <c r="R1181" s="17">
        <f>IF($A1181="","",$A1181-WEEKDAY($A1181,2)+1)</f>
        <v/>
      </c>
    </row>
    <row r="1182">
      <c r="A1182" s="5" t="n"/>
      <c r="B1182" s="4" t="n"/>
      <c r="C1182" s="4" t="n"/>
      <c r="D1182" s="4" t="n"/>
      <c r="E1182" s="4" t="n"/>
      <c r="F1182" s="4" t="n"/>
      <c r="G1182" s="4" t="n"/>
      <c r="H1182" s="4" t="n"/>
      <c r="I1182" s="9">
        <f>IF($H1182="","",IFERROR(INDEX('Settings'!$J$10:$J$39,MATCH($H1182,'Settings'!$I$10:$I$39,0)),""))</f>
        <v/>
      </c>
      <c r="J1182" s="6" t="n"/>
      <c r="K1182" s="8" t="n"/>
      <c r="L1182" s="8" t="n"/>
      <c r="M1182" s="14">
        <f>IF($A1182="","",$J1182*$K1182)</f>
        <v/>
      </c>
      <c r="N1182" s="14">
        <f>IF($A1182="","",$M1182-$L1182)</f>
        <v/>
      </c>
      <c r="O1182" s="4" t="n"/>
      <c r="P1182" s="15">
        <f>IF($A1182="","",DATE(YEAR($A1182),MONTH($A1182),1))</f>
        <v/>
      </c>
      <c r="Q1182" s="16">
        <f>IF($H1182="","",$J1182*IFERROR(INDEX('Settings'!$L$10:$L$39,MATCH($H1182,'Settings'!$I$10:$I$39,0)),0))</f>
        <v/>
      </c>
      <c r="R1182" s="17">
        <f>IF($A1182="","",$A1182-WEEKDAY($A1182,2)+1)</f>
        <v/>
      </c>
    </row>
    <row r="1183">
      <c r="A1183" s="5" t="n"/>
      <c r="B1183" s="4" t="n"/>
      <c r="C1183" s="4" t="n"/>
      <c r="D1183" s="4" t="n"/>
      <c r="E1183" s="4" t="n"/>
      <c r="F1183" s="4" t="n"/>
      <c r="G1183" s="4" t="n"/>
      <c r="H1183" s="4" t="n"/>
      <c r="I1183" s="9">
        <f>IF($H1183="","",IFERROR(INDEX('Settings'!$J$10:$J$39,MATCH($H1183,'Settings'!$I$10:$I$39,0)),""))</f>
        <v/>
      </c>
      <c r="J1183" s="6" t="n"/>
      <c r="K1183" s="8" t="n"/>
      <c r="L1183" s="8" t="n"/>
      <c r="M1183" s="14">
        <f>IF($A1183="","",$J1183*$K1183)</f>
        <v/>
      </c>
      <c r="N1183" s="14">
        <f>IF($A1183="","",$M1183-$L1183)</f>
        <v/>
      </c>
      <c r="O1183" s="4" t="n"/>
      <c r="P1183" s="15">
        <f>IF($A1183="","",DATE(YEAR($A1183),MONTH($A1183),1))</f>
        <v/>
      </c>
      <c r="Q1183" s="16">
        <f>IF($H1183="","",$J1183*IFERROR(INDEX('Settings'!$L$10:$L$39,MATCH($H1183,'Settings'!$I$10:$I$39,0)),0))</f>
        <v/>
      </c>
      <c r="R1183" s="17">
        <f>IF($A1183="","",$A1183-WEEKDAY($A1183,2)+1)</f>
        <v/>
      </c>
    </row>
    <row r="1184">
      <c r="A1184" s="5" t="n"/>
      <c r="B1184" s="4" t="n"/>
      <c r="C1184" s="4" t="n"/>
      <c r="D1184" s="4" t="n"/>
      <c r="E1184" s="4" t="n"/>
      <c r="F1184" s="4" t="n"/>
      <c r="G1184" s="4" t="n"/>
      <c r="H1184" s="4" t="n"/>
      <c r="I1184" s="9">
        <f>IF($H1184="","",IFERROR(INDEX('Settings'!$J$10:$J$39,MATCH($H1184,'Settings'!$I$10:$I$39,0)),""))</f>
        <v/>
      </c>
      <c r="J1184" s="6" t="n"/>
      <c r="K1184" s="8" t="n"/>
      <c r="L1184" s="8" t="n"/>
      <c r="M1184" s="14">
        <f>IF($A1184="","",$J1184*$K1184)</f>
        <v/>
      </c>
      <c r="N1184" s="14">
        <f>IF($A1184="","",$M1184-$L1184)</f>
        <v/>
      </c>
      <c r="O1184" s="4" t="n"/>
      <c r="P1184" s="15">
        <f>IF($A1184="","",DATE(YEAR($A1184),MONTH($A1184),1))</f>
        <v/>
      </c>
      <c r="Q1184" s="16">
        <f>IF($H1184="","",$J1184*IFERROR(INDEX('Settings'!$L$10:$L$39,MATCH($H1184,'Settings'!$I$10:$I$39,0)),0))</f>
        <v/>
      </c>
      <c r="R1184" s="17">
        <f>IF($A1184="","",$A1184-WEEKDAY($A1184,2)+1)</f>
        <v/>
      </c>
    </row>
    <row r="1185">
      <c r="A1185" s="5" t="n"/>
      <c r="B1185" s="4" t="n"/>
      <c r="C1185" s="4" t="n"/>
      <c r="D1185" s="4" t="n"/>
      <c r="E1185" s="4" t="n"/>
      <c r="F1185" s="4" t="n"/>
      <c r="G1185" s="4" t="n"/>
      <c r="H1185" s="4" t="n"/>
      <c r="I1185" s="9">
        <f>IF($H1185="","",IFERROR(INDEX('Settings'!$J$10:$J$39,MATCH($H1185,'Settings'!$I$10:$I$39,0)),""))</f>
        <v/>
      </c>
      <c r="J1185" s="6" t="n"/>
      <c r="K1185" s="8" t="n"/>
      <c r="L1185" s="8" t="n"/>
      <c r="M1185" s="14">
        <f>IF($A1185="","",$J1185*$K1185)</f>
        <v/>
      </c>
      <c r="N1185" s="14">
        <f>IF($A1185="","",$M1185-$L1185)</f>
        <v/>
      </c>
      <c r="O1185" s="4" t="n"/>
      <c r="P1185" s="15">
        <f>IF($A1185="","",DATE(YEAR($A1185),MONTH($A1185),1))</f>
        <v/>
      </c>
      <c r="Q1185" s="16">
        <f>IF($H1185="","",$J1185*IFERROR(INDEX('Settings'!$L$10:$L$39,MATCH($H1185,'Settings'!$I$10:$I$39,0)),0))</f>
        <v/>
      </c>
      <c r="R1185" s="17">
        <f>IF($A1185="","",$A1185-WEEKDAY($A1185,2)+1)</f>
        <v/>
      </c>
    </row>
    <row r="1186">
      <c r="A1186" s="5" t="n"/>
      <c r="B1186" s="4" t="n"/>
      <c r="C1186" s="4" t="n"/>
      <c r="D1186" s="4" t="n"/>
      <c r="E1186" s="4" t="n"/>
      <c r="F1186" s="4" t="n"/>
      <c r="G1186" s="4" t="n"/>
      <c r="H1186" s="4" t="n"/>
      <c r="I1186" s="9">
        <f>IF($H1186="","",IFERROR(INDEX('Settings'!$J$10:$J$39,MATCH($H1186,'Settings'!$I$10:$I$39,0)),""))</f>
        <v/>
      </c>
      <c r="J1186" s="6" t="n"/>
      <c r="K1186" s="8" t="n"/>
      <c r="L1186" s="8" t="n"/>
      <c r="M1186" s="14">
        <f>IF($A1186="","",$J1186*$K1186)</f>
        <v/>
      </c>
      <c r="N1186" s="14">
        <f>IF($A1186="","",$M1186-$L1186)</f>
        <v/>
      </c>
      <c r="O1186" s="4" t="n"/>
      <c r="P1186" s="15">
        <f>IF($A1186="","",DATE(YEAR($A1186),MONTH($A1186),1))</f>
        <v/>
      </c>
      <c r="Q1186" s="16">
        <f>IF($H1186="","",$J1186*IFERROR(INDEX('Settings'!$L$10:$L$39,MATCH($H1186,'Settings'!$I$10:$I$39,0)),0))</f>
        <v/>
      </c>
      <c r="R1186" s="17">
        <f>IF($A1186="","",$A1186-WEEKDAY($A1186,2)+1)</f>
        <v/>
      </c>
    </row>
    <row r="1187">
      <c r="A1187" s="5" t="n"/>
      <c r="B1187" s="4" t="n"/>
      <c r="C1187" s="4" t="n"/>
      <c r="D1187" s="4" t="n"/>
      <c r="E1187" s="4" t="n"/>
      <c r="F1187" s="4" t="n"/>
      <c r="G1187" s="4" t="n"/>
      <c r="H1187" s="4" t="n"/>
      <c r="I1187" s="9">
        <f>IF($H1187="","",IFERROR(INDEX('Settings'!$J$10:$J$39,MATCH($H1187,'Settings'!$I$10:$I$39,0)),""))</f>
        <v/>
      </c>
      <c r="J1187" s="6" t="n"/>
      <c r="K1187" s="8" t="n"/>
      <c r="L1187" s="8" t="n"/>
      <c r="M1187" s="14">
        <f>IF($A1187="","",$J1187*$K1187)</f>
        <v/>
      </c>
      <c r="N1187" s="14">
        <f>IF($A1187="","",$M1187-$L1187)</f>
        <v/>
      </c>
      <c r="O1187" s="4" t="n"/>
      <c r="P1187" s="15">
        <f>IF($A1187="","",DATE(YEAR($A1187),MONTH($A1187),1))</f>
        <v/>
      </c>
      <c r="Q1187" s="16">
        <f>IF($H1187="","",$J1187*IFERROR(INDEX('Settings'!$L$10:$L$39,MATCH($H1187,'Settings'!$I$10:$I$39,0)),0))</f>
        <v/>
      </c>
      <c r="R1187" s="17">
        <f>IF($A1187="","",$A1187-WEEKDAY($A1187,2)+1)</f>
        <v/>
      </c>
    </row>
    <row r="1188">
      <c r="A1188" s="5" t="n"/>
      <c r="B1188" s="4" t="n"/>
      <c r="C1188" s="4" t="n"/>
      <c r="D1188" s="4" t="n"/>
      <c r="E1188" s="4" t="n"/>
      <c r="F1188" s="4" t="n"/>
      <c r="G1188" s="4" t="n"/>
      <c r="H1188" s="4" t="n"/>
      <c r="I1188" s="9">
        <f>IF($H1188="","",IFERROR(INDEX('Settings'!$J$10:$J$39,MATCH($H1188,'Settings'!$I$10:$I$39,0)),""))</f>
        <v/>
      </c>
      <c r="J1188" s="6" t="n"/>
      <c r="K1188" s="8" t="n"/>
      <c r="L1188" s="8" t="n"/>
      <c r="M1188" s="14">
        <f>IF($A1188="","",$J1188*$K1188)</f>
        <v/>
      </c>
      <c r="N1188" s="14">
        <f>IF($A1188="","",$M1188-$L1188)</f>
        <v/>
      </c>
      <c r="O1188" s="4" t="n"/>
      <c r="P1188" s="15">
        <f>IF($A1188="","",DATE(YEAR($A1188),MONTH($A1188),1))</f>
        <v/>
      </c>
      <c r="Q1188" s="16">
        <f>IF($H1188="","",$J1188*IFERROR(INDEX('Settings'!$L$10:$L$39,MATCH($H1188,'Settings'!$I$10:$I$39,0)),0))</f>
        <v/>
      </c>
      <c r="R1188" s="17">
        <f>IF($A1188="","",$A1188-WEEKDAY($A1188,2)+1)</f>
        <v/>
      </c>
    </row>
    <row r="1189">
      <c r="A1189" s="5" t="n"/>
      <c r="B1189" s="4" t="n"/>
      <c r="C1189" s="4" t="n"/>
      <c r="D1189" s="4" t="n"/>
      <c r="E1189" s="4" t="n"/>
      <c r="F1189" s="4" t="n"/>
      <c r="G1189" s="4" t="n"/>
      <c r="H1189" s="4" t="n"/>
      <c r="I1189" s="9">
        <f>IF($H1189="","",IFERROR(INDEX('Settings'!$J$10:$J$39,MATCH($H1189,'Settings'!$I$10:$I$39,0)),""))</f>
        <v/>
      </c>
      <c r="J1189" s="6" t="n"/>
      <c r="K1189" s="8" t="n"/>
      <c r="L1189" s="8" t="n"/>
      <c r="M1189" s="14">
        <f>IF($A1189="","",$J1189*$K1189)</f>
        <v/>
      </c>
      <c r="N1189" s="14">
        <f>IF($A1189="","",$M1189-$L1189)</f>
        <v/>
      </c>
      <c r="O1189" s="4" t="n"/>
      <c r="P1189" s="15">
        <f>IF($A1189="","",DATE(YEAR($A1189),MONTH($A1189),1))</f>
        <v/>
      </c>
      <c r="Q1189" s="16">
        <f>IF($H1189="","",$J1189*IFERROR(INDEX('Settings'!$L$10:$L$39,MATCH($H1189,'Settings'!$I$10:$I$39,0)),0))</f>
        <v/>
      </c>
      <c r="R1189" s="17">
        <f>IF($A1189="","",$A1189-WEEKDAY($A1189,2)+1)</f>
        <v/>
      </c>
    </row>
    <row r="1190">
      <c r="A1190" s="5" t="n"/>
      <c r="B1190" s="4" t="n"/>
      <c r="C1190" s="4" t="n"/>
      <c r="D1190" s="4" t="n"/>
      <c r="E1190" s="4" t="n"/>
      <c r="F1190" s="4" t="n"/>
      <c r="G1190" s="4" t="n"/>
      <c r="H1190" s="4" t="n"/>
      <c r="I1190" s="9">
        <f>IF($H1190="","",IFERROR(INDEX('Settings'!$J$10:$J$39,MATCH($H1190,'Settings'!$I$10:$I$39,0)),""))</f>
        <v/>
      </c>
      <c r="J1190" s="6" t="n"/>
      <c r="K1190" s="8" t="n"/>
      <c r="L1190" s="8" t="n"/>
      <c r="M1190" s="14">
        <f>IF($A1190="","",$J1190*$K1190)</f>
        <v/>
      </c>
      <c r="N1190" s="14">
        <f>IF($A1190="","",$M1190-$L1190)</f>
        <v/>
      </c>
      <c r="O1190" s="4" t="n"/>
      <c r="P1190" s="15">
        <f>IF($A1190="","",DATE(YEAR($A1190),MONTH($A1190),1))</f>
        <v/>
      </c>
      <c r="Q1190" s="16">
        <f>IF($H1190="","",$J1190*IFERROR(INDEX('Settings'!$L$10:$L$39,MATCH($H1190,'Settings'!$I$10:$I$39,0)),0))</f>
        <v/>
      </c>
      <c r="R1190" s="17">
        <f>IF($A1190="","",$A1190-WEEKDAY($A1190,2)+1)</f>
        <v/>
      </c>
    </row>
    <row r="1191">
      <c r="A1191" s="5" t="n"/>
      <c r="B1191" s="4" t="n"/>
      <c r="C1191" s="4" t="n"/>
      <c r="D1191" s="4" t="n"/>
      <c r="E1191" s="4" t="n"/>
      <c r="F1191" s="4" t="n"/>
      <c r="G1191" s="4" t="n"/>
      <c r="H1191" s="4" t="n"/>
      <c r="I1191" s="9">
        <f>IF($H1191="","",IFERROR(INDEX('Settings'!$J$10:$J$39,MATCH($H1191,'Settings'!$I$10:$I$39,0)),""))</f>
        <v/>
      </c>
      <c r="J1191" s="6" t="n"/>
      <c r="K1191" s="8" t="n"/>
      <c r="L1191" s="8" t="n"/>
      <c r="M1191" s="14">
        <f>IF($A1191="","",$J1191*$K1191)</f>
        <v/>
      </c>
      <c r="N1191" s="14">
        <f>IF($A1191="","",$M1191-$L1191)</f>
        <v/>
      </c>
      <c r="O1191" s="4" t="n"/>
      <c r="P1191" s="15">
        <f>IF($A1191="","",DATE(YEAR($A1191),MONTH($A1191),1))</f>
        <v/>
      </c>
      <c r="Q1191" s="16">
        <f>IF($H1191="","",$J1191*IFERROR(INDEX('Settings'!$L$10:$L$39,MATCH($H1191,'Settings'!$I$10:$I$39,0)),0))</f>
        <v/>
      </c>
      <c r="R1191" s="17">
        <f>IF($A1191="","",$A1191-WEEKDAY($A1191,2)+1)</f>
        <v/>
      </c>
    </row>
    <row r="1192">
      <c r="A1192" s="5" t="n"/>
      <c r="B1192" s="4" t="n"/>
      <c r="C1192" s="4" t="n"/>
      <c r="D1192" s="4" t="n"/>
      <c r="E1192" s="4" t="n"/>
      <c r="F1192" s="4" t="n"/>
      <c r="G1192" s="4" t="n"/>
      <c r="H1192" s="4" t="n"/>
      <c r="I1192" s="9">
        <f>IF($H1192="","",IFERROR(INDEX('Settings'!$J$10:$J$39,MATCH($H1192,'Settings'!$I$10:$I$39,0)),""))</f>
        <v/>
      </c>
      <c r="J1192" s="6" t="n"/>
      <c r="K1192" s="8" t="n"/>
      <c r="L1192" s="8" t="n"/>
      <c r="M1192" s="14">
        <f>IF($A1192="","",$J1192*$K1192)</f>
        <v/>
      </c>
      <c r="N1192" s="14">
        <f>IF($A1192="","",$M1192-$L1192)</f>
        <v/>
      </c>
      <c r="O1192" s="4" t="n"/>
      <c r="P1192" s="15">
        <f>IF($A1192="","",DATE(YEAR($A1192),MONTH($A1192),1))</f>
        <v/>
      </c>
      <c r="Q1192" s="16">
        <f>IF($H1192="","",$J1192*IFERROR(INDEX('Settings'!$L$10:$L$39,MATCH($H1192,'Settings'!$I$10:$I$39,0)),0))</f>
        <v/>
      </c>
      <c r="R1192" s="17">
        <f>IF($A1192="","",$A1192-WEEKDAY($A1192,2)+1)</f>
        <v/>
      </c>
    </row>
    <row r="1193">
      <c r="A1193" s="5" t="n"/>
      <c r="B1193" s="4" t="n"/>
      <c r="C1193" s="4" t="n"/>
      <c r="D1193" s="4" t="n"/>
      <c r="E1193" s="4" t="n"/>
      <c r="F1193" s="4" t="n"/>
      <c r="G1193" s="4" t="n"/>
      <c r="H1193" s="4" t="n"/>
      <c r="I1193" s="9">
        <f>IF($H1193="","",IFERROR(INDEX('Settings'!$J$10:$J$39,MATCH($H1193,'Settings'!$I$10:$I$39,0)),""))</f>
        <v/>
      </c>
      <c r="J1193" s="6" t="n"/>
      <c r="K1193" s="8" t="n"/>
      <c r="L1193" s="8" t="n"/>
      <c r="M1193" s="14">
        <f>IF($A1193="","",$J1193*$K1193)</f>
        <v/>
      </c>
      <c r="N1193" s="14">
        <f>IF($A1193="","",$M1193-$L1193)</f>
        <v/>
      </c>
      <c r="O1193" s="4" t="n"/>
      <c r="P1193" s="15">
        <f>IF($A1193="","",DATE(YEAR($A1193),MONTH($A1193),1))</f>
        <v/>
      </c>
      <c r="Q1193" s="16">
        <f>IF($H1193="","",$J1193*IFERROR(INDEX('Settings'!$L$10:$L$39,MATCH($H1193,'Settings'!$I$10:$I$39,0)),0))</f>
        <v/>
      </c>
      <c r="R1193" s="17">
        <f>IF($A1193="","",$A1193-WEEKDAY($A1193,2)+1)</f>
        <v/>
      </c>
    </row>
    <row r="1194">
      <c r="A1194" s="5" t="n"/>
      <c r="B1194" s="4" t="n"/>
      <c r="C1194" s="4" t="n"/>
      <c r="D1194" s="4" t="n"/>
      <c r="E1194" s="4" t="n"/>
      <c r="F1194" s="4" t="n"/>
      <c r="G1194" s="4" t="n"/>
      <c r="H1194" s="4" t="n"/>
      <c r="I1194" s="9">
        <f>IF($H1194="","",IFERROR(INDEX('Settings'!$J$10:$J$39,MATCH($H1194,'Settings'!$I$10:$I$39,0)),""))</f>
        <v/>
      </c>
      <c r="J1194" s="6" t="n"/>
      <c r="K1194" s="8" t="n"/>
      <c r="L1194" s="8" t="n"/>
      <c r="M1194" s="14">
        <f>IF($A1194="","",$J1194*$K1194)</f>
        <v/>
      </c>
      <c r="N1194" s="14">
        <f>IF($A1194="","",$M1194-$L1194)</f>
        <v/>
      </c>
      <c r="O1194" s="4" t="n"/>
      <c r="P1194" s="15">
        <f>IF($A1194="","",DATE(YEAR($A1194),MONTH($A1194),1))</f>
        <v/>
      </c>
      <c r="Q1194" s="16">
        <f>IF($H1194="","",$J1194*IFERROR(INDEX('Settings'!$L$10:$L$39,MATCH($H1194,'Settings'!$I$10:$I$39,0)),0))</f>
        <v/>
      </c>
      <c r="R1194" s="17">
        <f>IF($A1194="","",$A1194-WEEKDAY($A1194,2)+1)</f>
        <v/>
      </c>
    </row>
    <row r="1195">
      <c r="A1195" s="5" t="n"/>
      <c r="B1195" s="4" t="n"/>
      <c r="C1195" s="4" t="n"/>
      <c r="D1195" s="4" t="n"/>
      <c r="E1195" s="4" t="n"/>
      <c r="F1195" s="4" t="n"/>
      <c r="G1195" s="4" t="n"/>
      <c r="H1195" s="4" t="n"/>
      <c r="I1195" s="9">
        <f>IF($H1195="","",IFERROR(INDEX('Settings'!$J$10:$J$39,MATCH($H1195,'Settings'!$I$10:$I$39,0)),""))</f>
        <v/>
      </c>
      <c r="J1195" s="6" t="n"/>
      <c r="K1195" s="8" t="n"/>
      <c r="L1195" s="8" t="n"/>
      <c r="M1195" s="14">
        <f>IF($A1195="","",$J1195*$K1195)</f>
        <v/>
      </c>
      <c r="N1195" s="14">
        <f>IF($A1195="","",$M1195-$L1195)</f>
        <v/>
      </c>
      <c r="O1195" s="4" t="n"/>
      <c r="P1195" s="15">
        <f>IF($A1195="","",DATE(YEAR($A1195),MONTH($A1195),1))</f>
        <v/>
      </c>
      <c r="Q1195" s="16">
        <f>IF($H1195="","",$J1195*IFERROR(INDEX('Settings'!$L$10:$L$39,MATCH($H1195,'Settings'!$I$10:$I$39,0)),0))</f>
        <v/>
      </c>
      <c r="R1195" s="17">
        <f>IF($A1195="","",$A1195-WEEKDAY($A1195,2)+1)</f>
        <v/>
      </c>
    </row>
    <row r="1196">
      <c r="A1196" s="5" t="n"/>
      <c r="B1196" s="4" t="n"/>
      <c r="C1196" s="4" t="n"/>
      <c r="D1196" s="4" t="n"/>
      <c r="E1196" s="4" t="n"/>
      <c r="F1196" s="4" t="n"/>
      <c r="G1196" s="4" t="n"/>
      <c r="H1196" s="4" t="n"/>
      <c r="I1196" s="9">
        <f>IF($H1196="","",IFERROR(INDEX('Settings'!$J$10:$J$39,MATCH($H1196,'Settings'!$I$10:$I$39,0)),""))</f>
        <v/>
      </c>
      <c r="J1196" s="6" t="n"/>
      <c r="K1196" s="8" t="n"/>
      <c r="L1196" s="8" t="n"/>
      <c r="M1196" s="14">
        <f>IF($A1196="","",$J1196*$K1196)</f>
        <v/>
      </c>
      <c r="N1196" s="14">
        <f>IF($A1196="","",$M1196-$L1196)</f>
        <v/>
      </c>
      <c r="O1196" s="4" t="n"/>
      <c r="P1196" s="15">
        <f>IF($A1196="","",DATE(YEAR($A1196),MONTH($A1196),1))</f>
        <v/>
      </c>
      <c r="Q1196" s="16">
        <f>IF($H1196="","",$J1196*IFERROR(INDEX('Settings'!$L$10:$L$39,MATCH($H1196,'Settings'!$I$10:$I$39,0)),0))</f>
        <v/>
      </c>
      <c r="R1196" s="17">
        <f>IF($A1196="","",$A1196-WEEKDAY($A1196,2)+1)</f>
        <v/>
      </c>
    </row>
    <row r="1197">
      <c r="A1197" s="5" t="n"/>
      <c r="B1197" s="4" t="n"/>
      <c r="C1197" s="4" t="n"/>
      <c r="D1197" s="4" t="n"/>
      <c r="E1197" s="4" t="n"/>
      <c r="F1197" s="4" t="n"/>
      <c r="G1197" s="4" t="n"/>
      <c r="H1197" s="4" t="n"/>
      <c r="I1197" s="9">
        <f>IF($H1197="","",IFERROR(INDEX('Settings'!$J$10:$J$39,MATCH($H1197,'Settings'!$I$10:$I$39,0)),""))</f>
        <v/>
      </c>
      <c r="J1197" s="6" t="n"/>
      <c r="K1197" s="8" t="n"/>
      <c r="L1197" s="8" t="n"/>
      <c r="M1197" s="14">
        <f>IF($A1197="","",$J1197*$K1197)</f>
        <v/>
      </c>
      <c r="N1197" s="14">
        <f>IF($A1197="","",$M1197-$L1197)</f>
        <v/>
      </c>
      <c r="O1197" s="4" t="n"/>
      <c r="P1197" s="15">
        <f>IF($A1197="","",DATE(YEAR($A1197),MONTH($A1197),1))</f>
        <v/>
      </c>
      <c r="Q1197" s="16">
        <f>IF($H1197="","",$J1197*IFERROR(INDEX('Settings'!$L$10:$L$39,MATCH($H1197,'Settings'!$I$10:$I$39,0)),0))</f>
        <v/>
      </c>
      <c r="R1197" s="17">
        <f>IF($A1197="","",$A1197-WEEKDAY($A1197,2)+1)</f>
        <v/>
      </c>
    </row>
    <row r="1198">
      <c r="A1198" s="5" t="n"/>
      <c r="B1198" s="4" t="n"/>
      <c r="C1198" s="4" t="n"/>
      <c r="D1198" s="4" t="n"/>
      <c r="E1198" s="4" t="n"/>
      <c r="F1198" s="4" t="n"/>
      <c r="G1198" s="4" t="n"/>
      <c r="H1198" s="4" t="n"/>
      <c r="I1198" s="9">
        <f>IF($H1198="","",IFERROR(INDEX('Settings'!$J$10:$J$39,MATCH($H1198,'Settings'!$I$10:$I$39,0)),""))</f>
        <v/>
      </c>
      <c r="J1198" s="6" t="n"/>
      <c r="K1198" s="8" t="n"/>
      <c r="L1198" s="8" t="n"/>
      <c r="M1198" s="14">
        <f>IF($A1198="","",$J1198*$K1198)</f>
        <v/>
      </c>
      <c r="N1198" s="14">
        <f>IF($A1198="","",$M1198-$L1198)</f>
        <v/>
      </c>
      <c r="O1198" s="4" t="n"/>
      <c r="P1198" s="15">
        <f>IF($A1198="","",DATE(YEAR($A1198),MONTH($A1198),1))</f>
        <v/>
      </c>
      <c r="Q1198" s="16">
        <f>IF($H1198="","",$J1198*IFERROR(INDEX('Settings'!$L$10:$L$39,MATCH($H1198,'Settings'!$I$10:$I$39,0)),0))</f>
        <v/>
      </c>
      <c r="R1198" s="17">
        <f>IF($A1198="","",$A1198-WEEKDAY($A1198,2)+1)</f>
        <v/>
      </c>
    </row>
    <row r="1199">
      <c r="A1199" s="5" t="n"/>
      <c r="B1199" s="4" t="n"/>
      <c r="C1199" s="4" t="n"/>
      <c r="D1199" s="4" t="n"/>
      <c r="E1199" s="4" t="n"/>
      <c r="F1199" s="4" t="n"/>
      <c r="G1199" s="4" t="n"/>
      <c r="H1199" s="4" t="n"/>
      <c r="I1199" s="9">
        <f>IF($H1199="","",IFERROR(INDEX('Settings'!$J$10:$J$39,MATCH($H1199,'Settings'!$I$10:$I$39,0)),""))</f>
        <v/>
      </c>
      <c r="J1199" s="6" t="n"/>
      <c r="K1199" s="8" t="n"/>
      <c r="L1199" s="8" t="n"/>
      <c r="M1199" s="14">
        <f>IF($A1199="","",$J1199*$K1199)</f>
        <v/>
      </c>
      <c r="N1199" s="14">
        <f>IF($A1199="","",$M1199-$L1199)</f>
        <v/>
      </c>
      <c r="O1199" s="4" t="n"/>
      <c r="P1199" s="15">
        <f>IF($A1199="","",DATE(YEAR($A1199),MONTH($A1199),1))</f>
        <v/>
      </c>
      <c r="Q1199" s="16">
        <f>IF($H1199="","",$J1199*IFERROR(INDEX('Settings'!$L$10:$L$39,MATCH($H1199,'Settings'!$I$10:$I$39,0)),0))</f>
        <v/>
      </c>
      <c r="R1199" s="17">
        <f>IF($A1199="","",$A1199-WEEKDAY($A1199,2)+1)</f>
        <v/>
      </c>
    </row>
    <row r="1200">
      <c r="A1200" s="5" t="n"/>
      <c r="B1200" s="4" t="n"/>
      <c r="C1200" s="4" t="n"/>
      <c r="D1200" s="4" t="n"/>
      <c r="E1200" s="4" t="n"/>
      <c r="F1200" s="4" t="n"/>
      <c r="G1200" s="4" t="n"/>
      <c r="H1200" s="4" t="n"/>
      <c r="I1200" s="9">
        <f>IF($H1200="","",IFERROR(INDEX('Settings'!$J$10:$J$39,MATCH($H1200,'Settings'!$I$10:$I$39,0)),""))</f>
        <v/>
      </c>
      <c r="J1200" s="6" t="n"/>
      <c r="K1200" s="8" t="n"/>
      <c r="L1200" s="8" t="n"/>
      <c r="M1200" s="14">
        <f>IF($A1200="","",$J1200*$K1200)</f>
        <v/>
      </c>
      <c r="N1200" s="14">
        <f>IF($A1200="","",$M1200-$L1200)</f>
        <v/>
      </c>
      <c r="O1200" s="4" t="n"/>
      <c r="P1200" s="15">
        <f>IF($A1200="","",DATE(YEAR($A1200),MONTH($A1200),1))</f>
        <v/>
      </c>
      <c r="Q1200" s="16">
        <f>IF($H1200="","",$J1200*IFERROR(INDEX('Settings'!$L$10:$L$39,MATCH($H1200,'Settings'!$I$10:$I$39,0)),0))</f>
        <v/>
      </c>
      <c r="R1200" s="17">
        <f>IF($A1200="","",$A1200-WEEKDAY($A1200,2)+1)</f>
        <v/>
      </c>
    </row>
    <row r="1201">
      <c r="A1201" s="5" t="n"/>
      <c r="B1201" s="4" t="n"/>
      <c r="C1201" s="4" t="n"/>
      <c r="D1201" s="4" t="n"/>
      <c r="E1201" s="4" t="n"/>
      <c r="F1201" s="4" t="n"/>
      <c r="G1201" s="4" t="n"/>
      <c r="H1201" s="4" t="n"/>
      <c r="I1201" s="9">
        <f>IF($H1201="","",IFERROR(INDEX('Settings'!$J$10:$J$39,MATCH($H1201,'Settings'!$I$10:$I$39,0)),""))</f>
        <v/>
      </c>
      <c r="J1201" s="6" t="n"/>
      <c r="K1201" s="8" t="n"/>
      <c r="L1201" s="8" t="n"/>
      <c r="M1201" s="14">
        <f>IF($A1201="","",$J1201*$K1201)</f>
        <v/>
      </c>
      <c r="N1201" s="14">
        <f>IF($A1201="","",$M1201-$L1201)</f>
        <v/>
      </c>
      <c r="O1201" s="4" t="n"/>
      <c r="P1201" s="15">
        <f>IF($A1201="","",DATE(YEAR($A1201),MONTH($A1201),1))</f>
        <v/>
      </c>
      <c r="Q1201" s="16">
        <f>IF($H1201="","",$J1201*IFERROR(INDEX('Settings'!$L$10:$L$39,MATCH($H1201,'Settings'!$I$10:$I$39,0)),0))</f>
        <v/>
      </c>
      <c r="R1201" s="17">
        <f>IF($A1201="","",$A1201-WEEKDAY($A1201,2)+1)</f>
        <v/>
      </c>
    </row>
    <row r="1202">
      <c r="A1202" s="5" t="n"/>
      <c r="B1202" s="4" t="n"/>
      <c r="C1202" s="4" t="n"/>
      <c r="D1202" s="4" t="n"/>
      <c r="E1202" s="4" t="n"/>
      <c r="F1202" s="4" t="n"/>
      <c r="G1202" s="4" t="n"/>
      <c r="H1202" s="4" t="n"/>
      <c r="I1202" s="9">
        <f>IF($H1202="","",IFERROR(INDEX('Settings'!$J$10:$J$39,MATCH($H1202,'Settings'!$I$10:$I$39,0)),""))</f>
        <v/>
      </c>
      <c r="J1202" s="6" t="n"/>
      <c r="K1202" s="8" t="n"/>
      <c r="L1202" s="8" t="n"/>
      <c r="M1202" s="14">
        <f>IF($A1202="","",$J1202*$K1202)</f>
        <v/>
      </c>
      <c r="N1202" s="14">
        <f>IF($A1202="","",$M1202-$L1202)</f>
        <v/>
      </c>
      <c r="O1202" s="4" t="n"/>
      <c r="P1202" s="15">
        <f>IF($A1202="","",DATE(YEAR($A1202),MONTH($A1202),1))</f>
        <v/>
      </c>
      <c r="Q1202" s="16">
        <f>IF($H1202="","",$J1202*IFERROR(INDEX('Settings'!$L$10:$L$39,MATCH($H1202,'Settings'!$I$10:$I$39,0)),0))</f>
        <v/>
      </c>
      <c r="R1202" s="17">
        <f>IF($A1202="","",$A1202-WEEKDAY($A1202,2)+1)</f>
        <v/>
      </c>
    </row>
    <row r="1203">
      <c r="A1203" s="5" t="n"/>
      <c r="B1203" s="4" t="n"/>
      <c r="C1203" s="4" t="n"/>
      <c r="D1203" s="4" t="n"/>
      <c r="E1203" s="4" t="n"/>
      <c r="F1203" s="4" t="n"/>
      <c r="G1203" s="4" t="n"/>
      <c r="H1203" s="4" t="n"/>
      <c r="I1203" s="9">
        <f>IF($H1203="","",IFERROR(INDEX('Settings'!$J$10:$J$39,MATCH($H1203,'Settings'!$I$10:$I$39,0)),""))</f>
        <v/>
      </c>
      <c r="J1203" s="6" t="n"/>
      <c r="K1203" s="8" t="n"/>
      <c r="L1203" s="8" t="n"/>
      <c r="M1203" s="14">
        <f>IF($A1203="","",$J1203*$K1203)</f>
        <v/>
      </c>
      <c r="N1203" s="14">
        <f>IF($A1203="","",$M1203-$L1203)</f>
        <v/>
      </c>
      <c r="O1203" s="4" t="n"/>
      <c r="P1203" s="15">
        <f>IF($A1203="","",DATE(YEAR($A1203),MONTH($A1203),1))</f>
        <v/>
      </c>
      <c r="Q1203" s="16">
        <f>IF($H1203="","",$J1203*IFERROR(INDEX('Settings'!$L$10:$L$39,MATCH($H1203,'Settings'!$I$10:$I$39,0)),0))</f>
        <v/>
      </c>
      <c r="R1203" s="17">
        <f>IF($A1203="","",$A1203-WEEKDAY($A1203,2)+1)</f>
        <v/>
      </c>
    </row>
    <row r="1204">
      <c r="A1204" s="5" t="n"/>
      <c r="B1204" s="4" t="n"/>
      <c r="C1204" s="4" t="n"/>
      <c r="D1204" s="4" t="n"/>
      <c r="E1204" s="4" t="n"/>
      <c r="F1204" s="4" t="n"/>
      <c r="G1204" s="4" t="n"/>
      <c r="H1204" s="4" t="n"/>
      <c r="I1204" s="9">
        <f>IF($H1204="","",IFERROR(INDEX('Settings'!$J$10:$J$39,MATCH($H1204,'Settings'!$I$10:$I$39,0)),""))</f>
        <v/>
      </c>
      <c r="J1204" s="6" t="n"/>
      <c r="K1204" s="8" t="n"/>
      <c r="L1204" s="8" t="n"/>
      <c r="M1204" s="14">
        <f>IF($A1204="","",$J1204*$K1204)</f>
        <v/>
      </c>
      <c r="N1204" s="14">
        <f>IF($A1204="","",$M1204-$L1204)</f>
        <v/>
      </c>
      <c r="O1204" s="4" t="n"/>
      <c r="P1204" s="15">
        <f>IF($A1204="","",DATE(YEAR($A1204),MONTH($A1204),1))</f>
        <v/>
      </c>
      <c r="Q1204" s="16">
        <f>IF($H1204="","",$J1204*IFERROR(INDEX('Settings'!$L$10:$L$39,MATCH($H1204,'Settings'!$I$10:$I$39,0)),0))</f>
        <v/>
      </c>
      <c r="R1204" s="17">
        <f>IF($A1204="","",$A1204-WEEKDAY($A1204,2)+1)</f>
        <v/>
      </c>
    </row>
    <row r="1205">
      <c r="A1205" s="5" t="n"/>
      <c r="B1205" s="4" t="n"/>
      <c r="C1205" s="4" t="n"/>
      <c r="D1205" s="4" t="n"/>
      <c r="E1205" s="4" t="n"/>
      <c r="F1205" s="4" t="n"/>
      <c r="G1205" s="4" t="n"/>
      <c r="H1205" s="4" t="n"/>
      <c r="I1205" s="9">
        <f>IF($H1205="","",IFERROR(INDEX('Settings'!$J$10:$J$39,MATCH($H1205,'Settings'!$I$10:$I$39,0)),""))</f>
        <v/>
      </c>
      <c r="J1205" s="6" t="n"/>
      <c r="K1205" s="8" t="n"/>
      <c r="L1205" s="8" t="n"/>
      <c r="M1205" s="14">
        <f>IF($A1205="","",$J1205*$K1205)</f>
        <v/>
      </c>
      <c r="N1205" s="14">
        <f>IF($A1205="","",$M1205-$L1205)</f>
        <v/>
      </c>
      <c r="O1205" s="4" t="n"/>
      <c r="P1205" s="15">
        <f>IF($A1205="","",DATE(YEAR($A1205),MONTH($A1205),1))</f>
        <v/>
      </c>
      <c r="Q1205" s="16">
        <f>IF($H1205="","",$J1205*IFERROR(INDEX('Settings'!$L$10:$L$39,MATCH($H1205,'Settings'!$I$10:$I$39,0)),0))</f>
        <v/>
      </c>
      <c r="R1205" s="17">
        <f>IF($A1205="","",$A1205-WEEKDAY($A1205,2)+1)</f>
        <v/>
      </c>
    </row>
    <row r="1206">
      <c r="A1206" s="5" t="n"/>
      <c r="B1206" s="4" t="n"/>
      <c r="C1206" s="4" t="n"/>
      <c r="D1206" s="4" t="n"/>
      <c r="E1206" s="4" t="n"/>
      <c r="F1206" s="4" t="n"/>
      <c r="G1206" s="4" t="n"/>
      <c r="H1206" s="4" t="n"/>
      <c r="I1206" s="9">
        <f>IF($H1206="","",IFERROR(INDEX('Settings'!$J$10:$J$39,MATCH($H1206,'Settings'!$I$10:$I$39,0)),""))</f>
        <v/>
      </c>
      <c r="J1206" s="6" t="n"/>
      <c r="K1206" s="8" t="n"/>
      <c r="L1206" s="8" t="n"/>
      <c r="M1206" s="14">
        <f>IF($A1206="","",$J1206*$K1206)</f>
        <v/>
      </c>
      <c r="N1206" s="14">
        <f>IF($A1206="","",$M1206-$L1206)</f>
        <v/>
      </c>
      <c r="O1206" s="4" t="n"/>
      <c r="P1206" s="15">
        <f>IF($A1206="","",DATE(YEAR($A1206),MONTH($A1206),1))</f>
        <v/>
      </c>
      <c r="Q1206" s="16">
        <f>IF($H1206="","",$J1206*IFERROR(INDEX('Settings'!$L$10:$L$39,MATCH($H1206,'Settings'!$I$10:$I$39,0)),0))</f>
        <v/>
      </c>
      <c r="R1206" s="17">
        <f>IF($A1206="","",$A1206-WEEKDAY($A1206,2)+1)</f>
        <v/>
      </c>
    </row>
    <row r="1207">
      <c r="A1207" s="5" t="n"/>
      <c r="B1207" s="4" t="n"/>
      <c r="C1207" s="4" t="n"/>
      <c r="D1207" s="4" t="n"/>
      <c r="E1207" s="4" t="n"/>
      <c r="F1207" s="4" t="n"/>
      <c r="G1207" s="4" t="n"/>
      <c r="H1207" s="4" t="n"/>
      <c r="I1207" s="9">
        <f>IF($H1207="","",IFERROR(INDEX('Settings'!$J$10:$J$39,MATCH($H1207,'Settings'!$I$10:$I$39,0)),""))</f>
        <v/>
      </c>
      <c r="J1207" s="6" t="n"/>
      <c r="K1207" s="8" t="n"/>
      <c r="L1207" s="8" t="n"/>
      <c r="M1207" s="14">
        <f>IF($A1207="","",$J1207*$K1207)</f>
        <v/>
      </c>
      <c r="N1207" s="14">
        <f>IF($A1207="","",$M1207-$L1207)</f>
        <v/>
      </c>
      <c r="O1207" s="4" t="n"/>
      <c r="P1207" s="15">
        <f>IF($A1207="","",DATE(YEAR($A1207),MONTH($A1207),1))</f>
        <v/>
      </c>
      <c r="Q1207" s="16">
        <f>IF($H1207="","",$J1207*IFERROR(INDEX('Settings'!$L$10:$L$39,MATCH($H1207,'Settings'!$I$10:$I$39,0)),0))</f>
        <v/>
      </c>
      <c r="R1207" s="17">
        <f>IF($A1207="","",$A1207-WEEKDAY($A1207,2)+1)</f>
        <v/>
      </c>
    </row>
    <row r="1208">
      <c r="A1208" s="5" t="n"/>
      <c r="B1208" s="4" t="n"/>
      <c r="C1208" s="4" t="n"/>
      <c r="D1208" s="4" t="n"/>
      <c r="E1208" s="4" t="n"/>
      <c r="F1208" s="4" t="n"/>
      <c r="G1208" s="4" t="n"/>
      <c r="H1208" s="4" t="n"/>
      <c r="I1208" s="9">
        <f>IF($H1208="","",IFERROR(INDEX('Settings'!$J$10:$J$39,MATCH($H1208,'Settings'!$I$10:$I$39,0)),""))</f>
        <v/>
      </c>
      <c r="J1208" s="6" t="n"/>
      <c r="K1208" s="8" t="n"/>
      <c r="L1208" s="8" t="n"/>
      <c r="M1208" s="14">
        <f>IF($A1208="","",$J1208*$K1208)</f>
        <v/>
      </c>
      <c r="N1208" s="14">
        <f>IF($A1208="","",$M1208-$L1208)</f>
        <v/>
      </c>
      <c r="O1208" s="4" t="n"/>
      <c r="P1208" s="15">
        <f>IF($A1208="","",DATE(YEAR($A1208),MONTH($A1208),1))</f>
        <v/>
      </c>
      <c r="Q1208" s="16">
        <f>IF($H1208="","",$J1208*IFERROR(INDEX('Settings'!$L$10:$L$39,MATCH($H1208,'Settings'!$I$10:$I$39,0)),0))</f>
        <v/>
      </c>
      <c r="R1208" s="17">
        <f>IF($A1208="","",$A1208-WEEKDAY($A1208,2)+1)</f>
        <v/>
      </c>
    </row>
    <row r="1209">
      <c r="A1209" s="5" t="n"/>
      <c r="B1209" s="4" t="n"/>
      <c r="C1209" s="4" t="n"/>
      <c r="D1209" s="4" t="n"/>
      <c r="E1209" s="4" t="n"/>
      <c r="F1209" s="4" t="n"/>
      <c r="G1209" s="4" t="n"/>
      <c r="H1209" s="4" t="n"/>
      <c r="I1209" s="9">
        <f>IF($H1209="","",IFERROR(INDEX('Settings'!$J$10:$J$39,MATCH($H1209,'Settings'!$I$10:$I$39,0)),""))</f>
        <v/>
      </c>
      <c r="J1209" s="6" t="n"/>
      <c r="K1209" s="8" t="n"/>
      <c r="L1209" s="8" t="n"/>
      <c r="M1209" s="14">
        <f>IF($A1209="","",$J1209*$K1209)</f>
        <v/>
      </c>
      <c r="N1209" s="14">
        <f>IF($A1209="","",$M1209-$L1209)</f>
        <v/>
      </c>
      <c r="O1209" s="4" t="n"/>
      <c r="P1209" s="15">
        <f>IF($A1209="","",DATE(YEAR($A1209),MONTH($A1209),1))</f>
        <v/>
      </c>
      <c r="Q1209" s="16">
        <f>IF($H1209="","",$J1209*IFERROR(INDEX('Settings'!$L$10:$L$39,MATCH($H1209,'Settings'!$I$10:$I$39,0)),0))</f>
        <v/>
      </c>
      <c r="R1209" s="17">
        <f>IF($A1209="","",$A1209-WEEKDAY($A1209,2)+1)</f>
        <v/>
      </c>
    </row>
    <row r="1210">
      <c r="A1210" s="5" t="n"/>
      <c r="B1210" s="4" t="n"/>
      <c r="C1210" s="4" t="n"/>
      <c r="D1210" s="4" t="n"/>
      <c r="E1210" s="4" t="n"/>
      <c r="F1210" s="4" t="n"/>
      <c r="G1210" s="4" t="n"/>
      <c r="H1210" s="4" t="n"/>
      <c r="I1210" s="9">
        <f>IF($H1210="","",IFERROR(INDEX('Settings'!$J$10:$J$39,MATCH($H1210,'Settings'!$I$10:$I$39,0)),""))</f>
        <v/>
      </c>
      <c r="J1210" s="6" t="n"/>
      <c r="K1210" s="8" t="n"/>
      <c r="L1210" s="8" t="n"/>
      <c r="M1210" s="14">
        <f>IF($A1210="","",$J1210*$K1210)</f>
        <v/>
      </c>
      <c r="N1210" s="14">
        <f>IF($A1210="","",$M1210-$L1210)</f>
        <v/>
      </c>
      <c r="O1210" s="4" t="n"/>
      <c r="P1210" s="15">
        <f>IF($A1210="","",DATE(YEAR($A1210),MONTH($A1210),1))</f>
        <v/>
      </c>
      <c r="Q1210" s="16">
        <f>IF($H1210="","",$J1210*IFERROR(INDEX('Settings'!$L$10:$L$39,MATCH($H1210,'Settings'!$I$10:$I$39,0)),0))</f>
        <v/>
      </c>
      <c r="R1210" s="17">
        <f>IF($A1210="","",$A1210-WEEKDAY($A1210,2)+1)</f>
        <v/>
      </c>
    </row>
    <row r="1211">
      <c r="A1211" s="5" t="n"/>
      <c r="B1211" s="4" t="n"/>
      <c r="C1211" s="4" t="n"/>
      <c r="D1211" s="4" t="n"/>
      <c r="E1211" s="4" t="n"/>
      <c r="F1211" s="4" t="n"/>
      <c r="G1211" s="4" t="n"/>
      <c r="H1211" s="4" t="n"/>
      <c r="I1211" s="9">
        <f>IF($H1211="","",IFERROR(INDEX('Settings'!$J$10:$J$39,MATCH($H1211,'Settings'!$I$10:$I$39,0)),""))</f>
        <v/>
      </c>
      <c r="J1211" s="6" t="n"/>
      <c r="K1211" s="8" t="n"/>
      <c r="L1211" s="8" t="n"/>
      <c r="M1211" s="14">
        <f>IF($A1211="","",$J1211*$K1211)</f>
        <v/>
      </c>
      <c r="N1211" s="14">
        <f>IF($A1211="","",$M1211-$L1211)</f>
        <v/>
      </c>
      <c r="O1211" s="4" t="n"/>
      <c r="P1211" s="15">
        <f>IF($A1211="","",DATE(YEAR($A1211),MONTH($A1211),1))</f>
        <v/>
      </c>
      <c r="Q1211" s="16">
        <f>IF($H1211="","",$J1211*IFERROR(INDEX('Settings'!$L$10:$L$39,MATCH($H1211,'Settings'!$I$10:$I$39,0)),0))</f>
        <v/>
      </c>
      <c r="R1211" s="17">
        <f>IF($A1211="","",$A1211-WEEKDAY($A1211,2)+1)</f>
        <v/>
      </c>
    </row>
    <row r="1212">
      <c r="A1212" s="5" t="n"/>
      <c r="B1212" s="4" t="n"/>
      <c r="C1212" s="4" t="n"/>
      <c r="D1212" s="4" t="n"/>
      <c r="E1212" s="4" t="n"/>
      <c r="F1212" s="4" t="n"/>
      <c r="G1212" s="4" t="n"/>
      <c r="H1212" s="4" t="n"/>
      <c r="I1212" s="9">
        <f>IF($H1212="","",IFERROR(INDEX('Settings'!$J$10:$J$39,MATCH($H1212,'Settings'!$I$10:$I$39,0)),""))</f>
        <v/>
      </c>
      <c r="J1212" s="6" t="n"/>
      <c r="K1212" s="8" t="n"/>
      <c r="L1212" s="8" t="n"/>
      <c r="M1212" s="14">
        <f>IF($A1212="","",$J1212*$K1212)</f>
        <v/>
      </c>
      <c r="N1212" s="14">
        <f>IF($A1212="","",$M1212-$L1212)</f>
        <v/>
      </c>
      <c r="O1212" s="4" t="n"/>
      <c r="P1212" s="15">
        <f>IF($A1212="","",DATE(YEAR($A1212),MONTH($A1212),1))</f>
        <v/>
      </c>
      <c r="Q1212" s="16">
        <f>IF($H1212="","",$J1212*IFERROR(INDEX('Settings'!$L$10:$L$39,MATCH($H1212,'Settings'!$I$10:$I$39,0)),0))</f>
        <v/>
      </c>
      <c r="R1212" s="17">
        <f>IF($A1212="","",$A1212-WEEKDAY($A1212,2)+1)</f>
        <v/>
      </c>
    </row>
    <row r="1213">
      <c r="A1213" s="5" t="n"/>
      <c r="B1213" s="4" t="n"/>
      <c r="C1213" s="4" t="n"/>
      <c r="D1213" s="4" t="n"/>
      <c r="E1213" s="4" t="n"/>
      <c r="F1213" s="4" t="n"/>
      <c r="G1213" s="4" t="n"/>
      <c r="H1213" s="4" t="n"/>
      <c r="I1213" s="9">
        <f>IF($H1213="","",IFERROR(INDEX('Settings'!$J$10:$J$39,MATCH($H1213,'Settings'!$I$10:$I$39,0)),""))</f>
        <v/>
      </c>
      <c r="J1213" s="6" t="n"/>
      <c r="K1213" s="8" t="n"/>
      <c r="L1213" s="8" t="n"/>
      <c r="M1213" s="14">
        <f>IF($A1213="","",$J1213*$K1213)</f>
        <v/>
      </c>
      <c r="N1213" s="14">
        <f>IF($A1213="","",$M1213-$L1213)</f>
        <v/>
      </c>
      <c r="O1213" s="4" t="n"/>
      <c r="P1213" s="15">
        <f>IF($A1213="","",DATE(YEAR($A1213),MONTH($A1213),1))</f>
        <v/>
      </c>
      <c r="Q1213" s="16">
        <f>IF($H1213="","",$J1213*IFERROR(INDEX('Settings'!$L$10:$L$39,MATCH($H1213,'Settings'!$I$10:$I$39,0)),0))</f>
        <v/>
      </c>
      <c r="R1213" s="17">
        <f>IF($A1213="","",$A1213-WEEKDAY($A1213,2)+1)</f>
        <v/>
      </c>
    </row>
    <row r="1214">
      <c r="A1214" s="5" t="n"/>
      <c r="B1214" s="4" t="n"/>
      <c r="C1214" s="4" t="n"/>
      <c r="D1214" s="4" t="n"/>
      <c r="E1214" s="4" t="n"/>
      <c r="F1214" s="4" t="n"/>
      <c r="G1214" s="4" t="n"/>
      <c r="H1214" s="4" t="n"/>
      <c r="I1214" s="9">
        <f>IF($H1214="","",IFERROR(INDEX('Settings'!$J$10:$J$39,MATCH($H1214,'Settings'!$I$10:$I$39,0)),""))</f>
        <v/>
      </c>
      <c r="J1214" s="6" t="n"/>
      <c r="K1214" s="8" t="n"/>
      <c r="L1214" s="8" t="n"/>
      <c r="M1214" s="14">
        <f>IF($A1214="","",$J1214*$K1214)</f>
        <v/>
      </c>
      <c r="N1214" s="14">
        <f>IF($A1214="","",$M1214-$L1214)</f>
        <v/>
      </c>
      <c r="O1214" s="4" t="n"/>
      <c r="P1214" s="15">
        <f>IF($A1214="","",DATE(YEAR($A1214),MONTH($A1214),1))</f>
        <v/>
      </c>
      <c r="Q1214" s="16">
        <f>IF($H1214="","",$J1214*IFERROR(INDEX('Settings'!$L$10:$L$39,MATCH($H1214,'Settings'!$I$10:$I$39,0)),0))</f>
        <v/>
      </c>
      <c r="R1214" s="17">
        <f>IF($A1214="","",$A1214-WEEKDAY($A1214,2)+1)</f>
        <v/>
      </c>
    </row>
    <row r="1215">
      <c r="A1215" s="5" t="n"/>
      <c r="B1215" s="4" t="n"/>
      <c r="C1215" s="4" t="n"/>
      <c r="D1215" s="4" t="n"/>
      <c r="E1215" s="4" t="n"/>
      <c r="F1215" s="4" t="n"/>
      <c r="G1215" s="4" t="n"/>
      <c r="H1215" s="4" t="n"/>
      <c r="I1215" s="9">
        <f>IF($H1215="","",IFERROR(INDEX('Settings'!$J$10:$J$39,MATCH($H1215,'Settings'!$I$10:$I$39,0)),""))</f>
        <v/>
      </c>
      <c r="J1215" s="6" t="n"/>
      <c r="K1215" s="8" t="n"/>
      <c r="L1215" s="8" t="n"/>
      <c r="M1215" s="14">
        <f>IF($A1215="","",$J1215*$K1215)</f>
        <v/>
      </c>
      <c r="N1215" s="14">
        <f>IF($A1215="","",$M1215-$L1215)</f>
        <v/>
      </c>
      <c r="O1215" s="4" t="n"/>
      <c r="P1215" s="15">
        <f>IF($A1215="","",DATE(YEAR($A1215),MONTH($A1215),1))</f>
        <v/>
      </c>
      <c r="Q1215" s="16">
        <f>IF($H1215="","",$J1215*IFERROR(INDEX('Settings'!$L$10:$L$39,MATCH($H1215,'Settings'!$I$10:$I$39,0)),0))</f>
        <v/>
      </c>
      <c r="R1215" s="17">
        <f>IF($A1215="","",$A1215-WEEKDAY($A1215,2)+1)</f>
        <v/>
      </c>
    </row>
    <row r="1216">
      <c r="A1216" s="5" t="n"/>
      <c r="B1216" s="4" t="n"/>
      <c r="C1216" s="4" t="n"/>
      <c r="D1216" s="4" t="n"/>
      <c r="E1216" s="4" t="n"/>
      <c r="F1216" s="4" t="n"/>
      <c r="G1216" s="4" t="n"/>
      <c r="H1216" s="4" t="n"/>
      <c r="I1216" s="9">
        <f>IF($H1216="","",IFERROR(INDEX('Settings'!$J$10:$J$39,MATCH($H1216,'Settings'!$I$10:$I$39,0)),""))</f>
        <v/>
      </c>
      <c r="J1216" s="6" t="n"/>
      <c r="K1216" s="8" t="n"/>
      <c r="L1216" s="8" t="n"/>
      <c r="M1216" s="14">
        <f>IF($A1216="","",$J1216*$K1216)</f>
        <v/>
      </c>
      <c r="N1216" s="14">
        <f>IF($A1216="","",$M1216-$L1216)</f>
        <v/>
      </c>
      <c r="O1216" s="4" t="n"/>
      <c r="P1216" s="15">
        <f>IF($A1216="","",DATE(YEAR($A1216),MONTH($A1216),1))</f>
        <v/>
      </c>
      <c r="Q1216" s="16">
        <f>IF($H1216="","",$J1216*IFERROR(INDEX('Settings'!$L$10:$L$39,MATCH($H1216,'Settings'!$I$10:$I$39,0)),0))</f>
        <v/>
      </c>
      <c r="R1216" s="17">
        <f>IF($A1216="","",$A1216-WEEKDAY($A1216,2)+1)</f>
        <v/>
      </c>
    </row>
    <row r="1217">
      <c r="A1217" s="5" t="n"/>
      <c r="B1217" s="4" t="n"/>
      <c r="C1217" s="4" t="n"/>
      <c r="D1217" s="4" t="n"/>
      <c r="E1217" s="4" t="n"/>
      <c r="F1217" s="4" t="n"/>
      <c r="G1217" s="4" t="n"/>
      <c r="H1217" s="4" t="n"/>
      <c r="I1217" s="9">
        <f>IF($H1217="","",IFERROR(INDEX('Settings'!$J$10:$J$39,MATCH($H1217,'Settings'!$I$10:$I$39,0)),""))</f>
        <v/>
      </c>
      <c r="J1217" s="6" t="n"/>
      <c r="K1217" s="8" t="n"/>
      <c r="L1217" s="8" t="n"/>
      <c r="M1217" s="14">
        <f>IF($A1217="","",$J1217*$K1217)</f>
        <v/>
      </c>
      <c r="N1217" s="14">
        <f>IF($A1217="","",$M1217-$L1217)</f>
        <v/>
      </c>
      <c r="O1217" s="4" t="n"/>
      <c r="P1217" s="15">
        <f>IF($A1217="","",DATE(YEAR($A1217),MONTH($A1217),1))</f>
        <v/>
      </c>
      <c r="Q1217" s="16">
        <f>IF($H1217="","",$J1217*IFERROR(INDEX('Settings'!$L$10:$L$39,MATCH($H1217,'Settings'!$I$10:$I$39,0)),0))</f>
        <v/>
      </c>
      <c r="R1217" s="17">
        <f>IF($A1217="","",$A1217-WEEKDAY($A1217,2)+1)</f>
        <v/>
      </c>
    </row>
    <row r="1218">
      <c r="A1218" s="5" t="n"/>
      <c r="B1218" s="4" t="n"/>
      <c r="C1218" s="4" t="n"/>
      <c r="D1218" s="4" t="n"/>
      <c r="E1218" s="4" t="n"/>
      <c r="F1218" s="4" t="n"/>
      <c r="G1218" s="4" t="n"/>
      <c r="H1218" s="4" t="n"/>
      <c r="I1218" s="9">
        <f>IF($H1218="","",IFERROR(INDEX('Settings'!$J$10:$J$39,MATCH($H1218,'Settings'!$I$10:$I$39,0)),""))</f>
        <v/>
      </c>
      <c r="J1218" s="6" t="n"/>
      <c r="K1218" s="8" t="n"/>
      <c r="L1218" s="8" t="n"/>
      <c r="M1218" s="14">
        <f>IF($A1218="","",$J1218*$K1218)</f>
        <v/>
      </c>
      <c r="N1218" s="14">
        <f>IF($A1218="","",$M1218-$L1218)</f>
        <v/>
      </c>
      <c r="O1218" s="4" t="n"/>
      <c r="P1218" s="15">
        <f>IF($A1218="","",DATE(YEAR($A1218),MONTH($A1218),1))</f>
        <v/>
      </c>
      <c r="Q1218" s="16">
        <f>IF($H1218="","",$J1218*IFERROR(INDEX('Settings'!$L$10:$L$39,MATCH($H1218,'Settings'!$I$10:$I$39,0)),0))</f>
        <v/>
      </c>
      <c r="R1218" s="17">
        <f>IF($A1218="","",$A1218-WEEKDAY($A1218,2)+1)</f>
        <v/>
      </c>
    </row>
    <row r="1219">
      <c r="A1219" s="5" t="n"/>
      <c r="B1219" s="4" t="n"/>
      <c r="C1219" s="4" t="n"/>
      <c r="D1219" s="4" t="n"/>
      <c r="E1219" s="4" t="n"/>
      <c r="F1219" s="4" t="n"/>
      <c r="G1219" s="4" t="n"/>
      <c r="H1219" s="4" t="n"/>
      <c r="I1219" s="9">
        <f>IF($H1219="","",IFERROR(INDEX('Settings'!$J$10:$J$39,MATCH($H1219,'Settings'!$I$10:$I$39,0)),""))</f>
        <v/>
      </c>
      <c r="J1219" s="6" t="n"/>
      <c r="K1219" s="8" t="n"/>
      <c r="L1219" s="8" t="n"/>
      <c r="M1219" s="14">
        <f>IF($A1219="","",$J1219*$K1219)</f>
        <v/>
      </c>
      <c r="N1219" s="14">
        <f>IF($A1219="","",$M1219-$L1219)</f>
        <v/>
      </c>
      <c r="O1219" s="4" t="n"/>
      <c r="P1219" s="15">
        <f>IF($A1219="","",DATE(YEAR($A1219),MONTH($A1219),1))</f>
        <v/>
      </c>
      <c r="Q1219" s="16">
        <f>IF($H1219="","",$J1219*IFERROR(INDEX('Settings'!$L$10:$L$39,MATCH($H1219,'Settings'!$I$10:$I$39,0)),0))</f>
        <v/>
      </c>
      <c r="R1219" s="17">
        <f>IF($A1219="","",$A1219-WEEKDAY($A1219,2)+1)</f>
        <v/>
      </c>
    </row>
    <row r="1220">
      <c r="A1220" s="5" t="n"/>
      <c r="B1220" s="4" t="n"/>
      <c r="C1220" s="4" t="n"/>
      <c r="D1220" s="4" t="n"/>
      <c r="E1220" s="4" t="n"/>
      <c r="F1220" s="4" t="n"/>
      <c r="G1220" s="4" t="n"/>
      <c r="H1220" s="4" t="n"/>
      <c r="I1220" s="9">
        <f>IF($H1220="","",IFERROR(INDEX('Settings'!$J$10:$J$39,MATCH($H1220,'Settings'!$I$10:$I$39,0)),""))</f>
        <v/>
      </c>
      <c r="J1220" s="6" t="n"/>
      <c r="K1220" s="8" t="n"/>
      <c r="L1220" s="8" t="n"/>
      <c r="M1220" s="14">
        <f>IF($A1220="","",$J1220*$K1220)</f>
        <v/>
      </c>
      <c r="N1220" s="14">
        <f>IF($A1220="","",$M1220-$L1220)</f>
        <v/>
      </c>
      <c r="O1220" s="4" t="n"/>
      <c r="P1220" s="15">
        <f>IF($A1220="","",DATE(YEAR($A1220),MONTH($A1220),1))</f>
        <v/>
      </c>
      <c r="Q1220" s="16">
        <f>IF($H1220="","",$J1220*IFERROR(INDEX('Settings'!$L$10:$L$39,MATCH($H1220,'Settings'!$I$10:$I$39,0)),0))</f>
        <v/>
      </c>
      <c r="R1220" s="17">
        <f>IF($A1220="","",$A1220-WEEKDAY($A1220,2)+1)</f>
        <v/>
      </c>
    </row>
    <row r="1221">
      <c r="A1221" s="5" t="n"/>
      <c r="B1221" s="4" t="n"/>
      <c r="C1221" s="4" t="n"/>
      <c r="D1221" s="4" t="n"/>
      <c r="E1221" s="4" t="n"/>
      <c r="F1221" s="4" t="n"/>
      <c r="G1221" s="4" t="n"/>
      <c r="H1221" s="4" t="n"/>
      <c r="I1221" s="9">
        <f>IF($H1221="","",IFERROR(INDEX('Settings'!$J$10:$J$39,MATCH($H1221,'Settings'!$I$10:$I$39,0)),""))</f>
        <v/>
      </c>
      <c r="J1221" s="6" t="n"/>
      <c r="K1221" s="8" t="n"/>
      <c r="L1221" s="8" t="n"/>
      <c r="M1221" s="14">
        <f>IF($A1221="","",$J1221*$K1221)</f>
        <v/>
      </c>
      <c r="N1221" s="14">
        <f>IF($A1221="","",$M1221-$L1221)</f>
        <v/>
      </c>
      <c r="O1221" s="4" t="n"/>
      <c r="P1221" s="15">
        <f>IF($A1221="","",DATE(YEAR($A1221),MONTH($A1221),1))</f>
        <v/>
      </c>
      <c r="Q1221" s="16">
        <f>IF($H1221="","",$J1221*IFERROR(INDEX('Settings'!$L$10:$L$39,MATCH($H1221,'Settings'!$I$10:$I$39,0)),0))</f>
        <v/>
      </c>
      <c r="R1221" s="17">
        <f>IF($A1221="","",$A1221-WEEKDAY($A1221,2)+1)</f>
        <v/>
      </c>
    </row>
    <row r="1222">
      <c r="A1222" s="5" t="n"/>
      <c r="B1222" s="4" t="n"/>
      <c r="C1222" s="4" t="n"/>
      <c r="D1222" s="4" t="n"/>
      <c r="E1222" s="4" t="n"/>
      <c r="F1222" s="4" t="n"/>
      <c r="G1222" s="4" t="n"/>
      <c r="H1222" s="4" t="n"/>
      <c r="I1222" s="9">
        <f>IF($H1222="","",IFERROR(INDEX('Settings'!$J$10:$J$39,MATCH($H1222,'Settings'!$I$10:$I$39,0)),""))</f>
        <v/>
      </c>
      <c r="J1222" s="6" t="n"/>
      <c r="K1222" s="8" t="n"/>
      <c r="L1222" s="8" t="n"/>
      <c r="M1222" s="14">
        <f>IF($A1222="","",$J1222*$K1222)</f>
        <v/>
      </c>
      <c r="N1222" s="14">
        <f>IF($A1222="","",$M1222-$L1222)</f>
        <v/>
      </c>
      <c r="O1222" s="4" t="n"/>
      <c r="P1222" s="15">
        <f>IF($A1222="","",DATE(YEAR($A1222),MONTH($A1222),1))</f>
        <v/>
      </c>
      <c r="Q1222" s="16">
        <f>IF($H1222="","",$J1222*IFERROR(INDEX('Settings'!$L$10:$L$39,MATCH($H1222,'Settings'!$I$10:$I$39,0)),0))</f>
        <v/>
      </c>
      <c r="R1222" s="17">
        <f>IF($A1222="","",$A1222-WEEKDAY($A1222,2)+1)</f>
        <v/>
      </c>
    </row>
    <row r="1223">
      <c r="A1223" s="5" t="n"/>
      <c r="B1223" s="4" t="n"/>
      <c r="C1223" s="4" t="n"/>
      <c r="D1223" s="4" t="n"/>
      <c r="E1223" s="4" t="n"/>
      <c r="F1223" s="4" t="n"/>
      <c r="G1223" s="4" t="n"/>
      <c r="H1223" s="4" t="n"/>
      <c r="I1223" s="9">
        <f>IF($H1223="","",IFERROR(INDEX('Settings'!$J$10:$J$39,MATCH($H1223,'Settings'!$I$10:$I$39,0)),""))</f>
        <v/>
      </c>
      <c r="J1223" s="6" t="n"/>
      <c r="K1223" s="8" t="n"/>
      <c r="L1223" s="8" t="n"/>
      <c r="M1223" s="14">
        <f>IF($A1223="","",$J1223*$K1223)</f>
        <v/>
      </c>
      <c r="N1223" s="14">
        <f>IF($A1223="","",$M1223-$L1223)</f>
        <v/>
      </c>
      <c r="O1223" s="4" t="n"/>
      <c r="P1223" s="15">
        <f>IF($A1223="","",DATE(YEAR($A1223),MONTH($A1223),1))</f>
        <v/>
      </c>
      <c r="Q1223" s="16">
        <f>IF($H1223="","",$J1223*IFERROR(INDEX('Settings'!$L$10:$L$39,MATCH($H1223,'Settings'!$I$10:$I$39,0)),0))</f>
        <v/>
      </c>
      <c r="R1223" s="17">
        <f>IF($A1223="","",$A1223-WEEKDAY($A1223,2)+1)</f>
        <v/>
      </c>
    </row>
    <row r="1224">
      <c r="A1224" s="5" t="n"/>
      <c r="B1224" s="4" t="n"/>
      <c r="C1224" s="4" t="n"/>
      <c r="D1224" s="4" t="n"/>
      <c r="E1224" s="4" t="n"/>
      <c r="F1224" s="4" t="n"/>
      <c r="G1224" s="4" t="n"/>
      <c r="H1224" s="4" t="n"/>
      <c r="I1224" s="9">
        <f>IF($H1224="","",IFERROR(INDEX('Settings'!$J$10:$J$39,MATCH($H1224,'Settings'!$I$10:$I$39,0)),""))</f>
        <v/>
      </c>
      <c r="J1224" s="6" t="n"/>
      <c r="K1224" s="8" t="n"/>
      <c r="L1224" s="8" t="n"/>
      <c r="M1224" s="14">
        <f>IF($A1224="","",$J1224*$K1224)</f>
        <v/>
      </c>
      <c r="N1224" s="14">
        <f>IF($A1224="","",$M1224-$L1224)</f>
        <v/>
      </c>
      <c r="O1224" s="4" t="n"/>
      <c r="P1224" s="15">
        <f>IF($A1224="","",DATE(YEAR($A1224),MONTH($A1224),1))</f>
        <v/>
      </c>
      <c r="Q1224" s="16">
        <f>IF($H1224="","",$J1224*IFERROR(INDEX('Settings'!$L$10:$L$39,MATCH($H1224,'Settings'!$I$10:$I$39,0)),0))</f>
        <v/>
      </c>
      <c r="R1224" s="17">
        <f>IF($A1224="","",$A1224-WEEKDAY($A1224,2)+1)</f>
        <v/>
      </c>
    </row>
    <row r="1225">
      <c r="A1225" s="5" t="n"/>
      <c r="B1225" s="4" t="n"/>
      <c r="C1225" s="4" t="n"/>
      <c r="D1225" s="4" t="n"/>
      <c r="E1225" s="4" t="n"/>
      <c r="F1225" s="4" t="n"/>
      <c r="G1225" s="4" t="n"/>
      <c r="H1225" s="4" t="n"/>
      <c r="I1225" s="9">
        <f>IF($H1225="","",IFERROR(INDEX('Settings'!$J$10:$J$39,MATCH($H1225,'Settings'!$I$10:$I$39,0)),""))</f>
        <v/>
      </c>
      <c r="J1225" s="6" t="n"/>
      <c r="K1225" s="8" t="n"/>
      <c r="L1225" s="8" t="n"/>
      <c r="M1225" s="14">
        <f>IF($A1225="","",$J1225*$K1225)</f>
        <v/>
      </c>
      <c r="N1225" s="14">
        <f>IF($A1225="","",$M1225-$L1225)</f>
        <v/>
      </c>
      <c r="O1225" s="4" t="n"/>
      <c r="P1225" s="15">
        <f>IF($A1225="","",DATE(YEAR($A1225),MONTH($A1225),1))</f>
        <v/>
      </c>
      <c r="Q1225" s="16">
        <f>IF($H1225="","",$J1225*IFERROR(INDEX('Settings'!$L$10:$L$39,MATCH($H1225,'Settings'!$I$10:$I$39,0)),0))</f>
        <v/>
      </c>
      <c r="R1225" s="17">
        <f>IF($A1225="","",$A1225-WEEKDAY($A1225,2)+1)</f>
        <v/>
      </c>
    </row>
    <row r="1226">
      <c r="A1226" s="5" t="n"/>
      <c r="B1226" s="4" t="n"/>
      <c r="C1226" s="4" t="n"/>
      <c r="D1226" s="4" t="n"/>
      <c r="E1226" s="4" t="n"/>
      <c r="F1226" s="4" t="n"/>
      <c r="G1226" s="4" t="n"/>
      <c r="H1226" s="4" t="n"/>
      <c r="I1226" s="9">
        <f>IF($H1226="","",IFERROR(INDEX('Settings'!$J$10:$J$39,MATCH($H1226,'Settings'!$I$10:$I$39,0)),""))</f>
        <v/>
      </c>
      <c r="J1226" s="6" t="n"/>
      <c r="K1226" s="8" t="n"/>
      <c r="L1226" s="8" t="n"/>
      <c r="M1226" s="14">
        <f>IF($A1226="","",$J1226*$K1226)</f>
        <v/>
      </c>
      <c r="N1226" s="14">
        <f>IF($A1226="","",$M1226-$L1226)</f>
        <v/>
      </c>
      <c r="O1226" s="4" t="n"/>
      <c r="P1226" s="15">
        <f>IF($A1226="","",DATE(YEAR($A1226),MONTH($A1226),1))</f>
        <v/>
      </c>
      <c r="Q1226" s="16">
        <f>IF($H1226="","",$J1226*IFERROR(INDEX('Settings'!$L$10:$L$39,MATCH($H1226,'Settings'!$I$10:$I$39,0)),0))</f>
        <v/>
      </c>
      <c r="R1226" s="17">
        <f>IF($A1226="","",$A1226-WEEKDAY($A1226,2)+1)</f>
        <v/>
      </c>
    </row>
    <row r="1227">
      <c r="A1227" s="5" t="n"/>
      <c r="B1227" s="4" t="n"/>
      <c r="C1227" s="4" t="n"/>
      <c r="D1227" s="4" t="n"/>
      <c r="E1227" s="4" t="n"/>
      <c r="F1227" s="4" t="n"/>
      <c r="G1227" s="4" t="n"/>
      <c r="H1227" s="4" t="n"/>
      <c r="I1227" s="9">
        <f>IF($H1227="","",IFERROR(INDEX('Settings'!$J$10:$J$39,MATCH($H1227,'Settings'!$I$10:$I$39,0)),""))</f>
        <v/>
      </c>
      <c r="J1227" s="6" t="n"/>
      <c r="K1227" s="8" t="n"/>
      <c r="L1227" s="8" t="n"/>
      <c r="M1227" s="14">
        <f>IF($A1227="","",$J1227*$K1227)</f>
        <v/>
      </c>
      <c r="N1227" s="14">
        <f>IF($A1227="","",$M1227-$L1227)</f>
        <v/>
      </c>
      <c r="O1227" s="4" t="n"/>
      <c r="P1227" s="15">
        <f>IF($A1227="","",DATE(YEAR($A1227),MONTH($A1227),1))</f>
        <v/>
      </c>
      <c r="Q1227" s="16">
        <f>IF($H1227="","",$J1227*IFERROR(INDEX('Settings'!$L$10:$L$39,MATCH($H1227,'Settings'!$I$10:$I$39,0)),0))</f>
        <v/>
      </c>
      <c r="R1227" s="17">
        <f>IF($A1227="","",$A1227-WEEKDAY($A1227,2)+1)</f>
        <v/>
      </c>
    </row>
    <row r="1228">
      <c r="A1228" s="5" t="n"/>
      <c r="B1228" s="4" t="n"/>
      <c r="C1228" s="4" t="n"/>
      <c r="D1228" s="4" t="n"/>
      <c r="E1228" s="4" t="n"/>
      <c r="F1228" s="4" t="n"/>
      <c r="G1228" s="4" t="n"/>
      <c r="H1228" s="4" t="n"/>
      <c r="I1228" s="9">
        <f>IF($H1228="","",IFERROR(INDEX('Settings'!$J$10:$J$39,MATCH($H1228,'Settings'!$I$10:$I$39,0)),""))</f>
        <v/>
      </c>
      <c r="J1228" s="6" t="n"/>
      <c r="K1228" s="8" t="n"/>
      <c r="L1228" s="8" t="n"/>
      <c r="M1228" s="14">
        <f>IF($A1228="","",$J1228*$K1228)</f>
        <v/>
      </c>
      <c r="N1228" s="14">
        <f>IF($A1228="","",$M1228-$L1228)</f>
        <v/>
      </c>
      <c r="O1228" s="4" t="n"/>
      <c r="P1228" s="15">
        <f>IF($A1228="","",DATE(YEAR($A1228),MONTH($A1228),1))</f>
        <v/>
      </c>
      <c r="Q1228" s="16">
        <f>IF($H1228="","",$J1228*IFERROR(INDEX('Settings'!$L$10:$L$39,MATCH($H1228,'Settings'!$I$10:$I$39,0)),0))</f>
        <v/>
      </c>
      <c r="R1228" s="17">
        <f>IF($A1228="","",$A1228-WEEKDAY($A1228,2)+1)</f>
        <v/>
      </c>
    </row>
    <row r="1229">
      <c r="A1229" s="5" t="n"/>
      <c r="B1229" s="4" t="n"/>
      <c r="C1229" s="4" t="n"/>
      <c r="D1229" s="4" t="n"/>
      <c r="E1229" s="4" t="n"/>
      <c r="F1229" s="4" t="n"/>
      <c r="G1229" s="4" t="n"/>
      <c r="H1229" s="4" t="n"/>
      <c r="I1229" s="9">
        <f>IF($H1229="","",IFERROR(INDEX('Settings'!$J$10:$J$39,MATCH($H1229,'Settings'!$I$10:$I$39,0)),""))</f>
        <v/>
      </c>
      <c r="J1229" s="6" t="n"/>
      <c r="K1229" s="8" t="n"/>
      <c r="L1229" s="8" t="n"/>
      <c r="M1229" s="14">
        <f>IF($A1229="","",$J1229*$K1229)</f>
        <v/>
      </c>
      <c r="N1229" s="14">
        <f>IF($A1229="","",$M1229-$L1229)</f>
        <v/>
      </c>
      <c r="O1229" s="4" t="n"/>
      <c r="P1229" s="15">
        <f>IF($A1229="","",DATE(YEAR($A1229),MONTH($A1229),1))</f>
        <v/>
      </c>
      <c r="Q1229" s="16">
        <f>IF($H1229="","",$J1229*IFERROR(INDEX('Settings'!$L$10:$L$39,MATCH($H1229,'Settings'!$I$10:$I$39,0)),0))</f>
        <v/>
      </c>
      <c r="R1229" s="17">
        <f>IF($A1229="","",$A1229-WEEKDAY($A1229,2)+1)</f>
        <v/>
      </c>
    </row>
    <row r="1230">
      <c r="A1230" s="5" t="n"/>
      <c r="B1230" s="4" t="n"/>
      <c r="C1230" s="4" t="n"/>
      <c r="D1230" s="4" t="n"/>
      <c r="E1230" s="4" t="n"/>
      <c r="F1230" s="4" t="n"/>
      <c r="G1230" s="4" t="n"/>
      <c r="H1230" s="4" t="n"/>
      <c r="I1230" s="9">
        <f>IF($H1230="","",IFERROR(INDEX('Settings'!$J$10:$J$39,MATCH($H1230,'Settings'!$I$10:$I$39,0)),""))</f>
        <v/>
      </c>
      <c r="J1230" s="6" t="n"/>
      <c r="K1230" s="8" t="n"/>
      <c r="L1230" s="8" t="n"/>
      <c r="M1230" s="14">
        <f>IF($A1230="","",$J1230*$K1230)</f>
        <v/>
      </c>
      <c r="N1230" s="14">
        <f>IF($A1230="","",$M1230-$L1230)</f>
        <v/>
      </c>
      <c r="O1230" s="4" t="n"/>
      <c r="P1230" s="15">
        <f>IF($A1230="","",DATE(YEAR($A1230),MONTH($A1230),1))</f>
        <v/>
      </c>
      <c r="Q1230" s="16">
        <f>IF($H1230="","",$J1230*IFERROR(INDEX('Settings'!$L$10:$L$39,MATCH($H1230,'Settings'!$I$10:$I$39,0)),0))</f>
        <v/>
      </c>
      <c r="R1230" s="17">
        <f>IF($A1230="","",$A1230-WEEKDAY($A1230,2)+1)</f>
        <v/>
      </c>
    </row>
    <row r="1231">
      <c r="A1231" s="5" t="n"/>
      <c r="B1231" s="4" t="n"/>
      <c r="C1231" s="4" t="n"/>
      <c r="D1231" s="4" t="n"/>
      <c r="E1231" s="4" t="n"/>
      <c r="F1231" s="4" t="n"/>
      <c r="G1231" s="4" t="n"/>
      <c r="H1231" s="4" t="n"/>
      <c r="I1231" s="9">
        <f>IF($H1231="","",IFERROR(INDEX('Settings'!$J$10:$J$39,MATCH($H1231,'Settings'!$I$10:$I$39,0)),""))</f>
        <v/>
      </c>
      <c r="J1231" s="6" t="n"/>
      <c r="K1231" s="8" t="n"/>
      <c r="L1231" s="8" t="n"/>
      <c r="M1231" s="14">
        <f>IF($A1231="","",$J1231*$K1231)</f>
        <v/>
      </c>
      <c r="N1231" s="14">
        <f>IF($A1231="","",$M1231-$L1231)</f>
        <v/>
      </c>
      <c r="O1231" s="4" t="n"/>
      <c r="P1231" s="15">
        <f>IF($A1231="","",DATE(YEAR($A1231),MONTH($A1231),1))</f>
        <v/>
      </c>
      <c r="Q1231" s="16">
        <f>IF($H1231="","",$J1231*IFERROR(INDEX('Settings'!$L$10:$L$39,MATCH($H1231,'Settings'!$I$10:$I$39,0)),0))</f>
        <v/>
      </c>
      <c r="R1231" s="17">
        <f>IF($A1231="","",$A1231-WEEKDAY($A1231,2)+1)</f>
        <v/>
      </c>
    </row>
    <row r="1232">
      <c r="A1232" s="5" t="n"/>
      <c r="B1232" s="4" t="n"/>
      <c r="C1232" s="4" t="n"/>
      <c r="D1232" s="4" t="n"/>
      <c r="E1232" s="4" t="n"/>
      <c r="F1232" s="4" t="n"/>
      <c r="G1232" s="4" t="n"/>
      <c r="H1232" s="4" t="n"/>
      <c r="I1232" s="9">
        <f>IF($H1232="","",IFERROR(INDEX('Settings'!$J$10:$J$39,MATCH($H1232,'Settings'!$I$10:$I$39,0)),""))</f>
        <v/>
      </c>
      <c r="J1232" s="6" t="n"/>
      <c r="K1232" s="8" t="n"/>
      <c r="L1232" s="8" t="n"/>
      <c r="M1232" s="14">
        <f>IF($A1232="","",$J1232*$K1232)</f>
        <v/>
      </c>
      <c r="N1232" s="14">
        <f>IF($A1232="","",$M1232-$L1232)</f>
        <v/>
      </c>
      <c r="O1232" s="4" t="n"/>
      <c r="P1232" s="15">
        <f>IF($A1232="","",DATE(YEAR($A1232),MONTH($A1232),1))</f>
        <v/>
      </c>
      <c r="Q1232" s="16">
        <f>IF($H1232="","",$J1232*IFERROR(INDEX('Settings'!$L$10:$L$39,MATCH($H1232,'Settings'!$I$10:$I$39,0)),0))</f>
        <v/>
      </c>
      <c r="R1232" s="17">
        <f>IF($A1232="","",$A1232-WEEKDAY($A1232,2)+1)</f>
        <v/>
      </c>
    </row>
    <row r="1233">
      <c r="A1233" s="5" t="n"/>
      <c r="B1233" s="4" t="n"/>
      <c r="C1233" s="4" t="n"/>
      <c r="D1233" s="4" t="n"/>
      <c r="E1233" s="4" t="n"/>
      <c r="F1233" s="4" t="n"/>
      <c r="G1233" s="4" t="n"/>
      <c r="H1233" s="4" t="n"/>
      <c r="I1233" s="9">
        <f>IF($H1233="","",IFERROR(INDEX('Settings'!$J$10:$J$39,MATCH($H1233,'Settings'!$I$10:$I$39,0)),""))</f>
        <v/>
      </c>
      <c r="J1233" s="6" t="n"/>
      <c r="K1233" s="8" t="n"/>
      <c r="L1233" s="8" t="n"/>
      <c r="M1233" s="14">
        <f>IF($A1233="","",$J1233*$K1233)</f>
        <v/>
      </c>
      <c r="N1233" s="14">
        <f>IF($A1233="","",$M1233-$L1233)</f>
        <v/>
      </c>
      <c r="O1233" s="4" t="n"/>
      <c r="P1233" s="15">
        <f>IF($A1233="","",DATE(YEAR($A1233),MONTH($A1233),1))</f>
        <v/>
      </c>
      <c r="Q1233" s="16">
        <f>IF($H1233="","",$J1233*IFERROR(INDEX('Settings'!$L$10:$L$39,MATCH($H1233,'Settings'!$I$10:$I$39,0)),0))</f>
        <v/>
      </c>
      <c r="R1233" s="17">
        <f>IF($A1233="","",$A1233-WEEKDAY($A1233,2)+1)</f>
        <v/>
      </c>
    </row>
    <row r="1234">
      <c r="A1234" s="5" t="n"/>
      <c r="B1234" s="4" t="n"/>
      <c r="C1234" s="4" t="n"/>
      <c r="D1234" s="4" t="n"/>
      <c r="E1234" s="4" t="n"/>
      <c r="F1234" s="4" t="n"/>
      <c r="G1234" s="4" t="n"/>
      <c r="H1234" s="4" t="n"/>
      <c r="I1234" s="9">
        <f>IF($H1234="","",IFERROR(INDEX('Settings'!$J$10:$J$39,MATCH($H1234,'Settings'!$I$10:$I$39,0)),""))</f>
        <v/>
      </c>
      <c r="J1234" s="6" t="n"/>
      <c r="K1234" s="8" t="n"/>
      <c r="L1234" s="8" t="n"/>
      <c r="M1234" s="14">
        <f>IF($A1234="","",$J1234*$K1234)</f>
        <v/>
      </c>
      <c r="N1234" s="14">
        <f>IF($A1234="","",$M1234-$L1234)</f>
        <v/>
      </c>
      <c r="O1234" s="4" t="n"/>
      <c r="P1234" s="15">
        <f>IF($A1234="","",DATE(YEAR($A1234),MONTH($A1234),1))</f>
        <v/>
      </c>
      <c r="Q1234" s="16">
        <f>IF($H1234="","",$J1234*IFERROR(INDEX('Settings'!$L$10:$L$39,MATCH($H1234,'Settings'!$I$10:$I$39,0)),0))</f>
        <v/>
      </c>
      <c r="R1234" s="17">
        <f>IF($A1234="","",$A1234-WEEKDAY($A1234,2)+1)</f>
        <v/>
      </c>
    </row>
    <row r="1235">
      <c r="A1235" s="5" t="n"/>
      <c r="B1235" s="4" t="n"/>
      <c r="C1235" s="4" t="n"/>
      <c r="D1235" s="4" t="n"/>
      <c r="E1235" s="4" t="n"/>
      <c r="F1235" s="4" t="n"/>
      <c r="G1235" s="4" t="n"/>
      <c r="H1235" s="4" t="n"/>
      <c r="I1235" s="9">
        <f>IF($H1235="","",IFERROR(INDEX('Settings'!$J$10:$J$39,MATCH($H1235,'Settings'!$I$10:$I$39,0)),""))</f>
        <v/>
      </c>
      <c r="J1235" s="6" t="n"/>
      <c r="K1235" s="8" t="n"/>
      <c r="L1235" s="8" t="n"/>
      <c r="M1235" s="14">
        <f>IF($A1235="","",$J1235*$K1235)</f>
        <v/>
      </c>
      <c r="N1235" s="14">
        <f>IF($A1235="","",$M1235-$L1235)</f>
        <v/>
      </c>
      <c r="O1235" s="4" t="n"/>
      <c r="P1235" s="15">
        <f>IF($A1235="","",DATE(YEAR($A1235),MONTH($A1235),1))</f>
        <v/>
      </c>
      <c r="Q1235" s="16">
        <f>IF($H1235="","",$J1235*IFERROR(INDEX('Settings'!$L$10:$L$39,MATCH($H1235,'Settings'!$I$10:$I$39,0)),0))</f>
        <v/>
      </c>
      <c r="R1235" s="17">
        <f>IF($A1235="","",$A1235-WEEKDAY($A1235,2)+1)</f>
        <v/>
      </c>
    </row>
    <row r="1236">
      <c r="A1236" s="5" t="n"/>
      <c r="B1236" s="4" t="n"/>
      <c r="C1236" s="4" t="n"/>
      <c r="D1236" s="4" t="n"/>
      <c r="E1236" s="4" t="n"/>
      <c r="F1236" s="4" t="n"/>
      <c r="G1236" s="4" t="n"/>
      <c r="H1236" s="4" t="n"/>
      <c r="I1236" s="9">
        <f>IF($H1236="","",IFERROR(INDEX('Settings'!$J$10:$J$39,MATCH($H1236,'Settings'!$I$10:$I$39,0)),""))</f>
        <v/>
      </c>
      <c r="J1236" s="6" t="n"/>
      <c r="K1236" s="8" t="n"/>
      <c r="L1236" s="8" t="n"/>
      <c r="M1236" s="14">
        <f>IF($A1236="","",$J1236*$K1236)</f>
        <v/>
      </c>
      <c r="N1236" s="14">
        <f>IF($A1236="","",$M1236-$L1236)</f>
        <v/>
      </c>
      <c r="O1236" s="4" t="n"/>
      <c r="P1236" s="15">
        <f>IF($A1236="","",DATE(YEAR($A1236),MONTH($A1236),1))</f>
        <v/>
      </c>
      <c r="Q1236" s="16">
        <f>IF($H1236="","",$J1236*IFERROR(INDEX('Settings'!$L$10:$L$39,MATCH($H1236,'Settings'!$I$10:$I$39,0)),0))</f>
        <v/>
      </c>
      <c r="R1236" s="17">
        <f>IF($A1236="","",$A1236-WEEKDAY($A1236,2)+1)</f>
        <v/>
      </c>
    </row>
    <row r="1237">
      <c r="A1237" s="5" t="n"/>
      <c r="B1237" s="4" t="n"/>
      <c r="C1237" s="4" t="n"/>
      <c r="D1237" s="4" t="n"/>
      <c r="E1237" s="4" t="n"/>
      <c r="F1237" s="4" t="n"/>
      <c r="G1237" s="4" t="n"/>
      <c r="H1237" s="4" t="n"/>
      <c r="I1237" s="9">
        <f>IF($H1237="","",IFERROR(INDEX('Settings'!$J$10:$J$39,MATCH($H1237,'Settings'!$I$10:$I$39,0)),""))</f>
        <v/>
      </c>
      <c r="J1237" s="6" t="n"/>
      <c r="K1237" s="8" t="n"/>
      <c r="L1237" s="8" t="n"/>
      <c r="M1237" s="14">
        <f>IF($A1237="","",$J1237*$K1237)</f>
        <v/>
      </c>
      <c r="N1237" s="14">
        <f>IF($A1237="","",$M1237-$L1237)</f>
        <v/>
      </c>
      <c r="O1237" s="4" t="n"/>
      <c r="P1237" s="15">
        <f>IF($A1237="","",DATE(YEAR($A1237),MONTH($A1237),1))</f>
        <v/>
      </c>
      <c r="Q1237" s="16">
        <f>IF($H1237="","",$J1237*IFERROR(INDEX('Settings'!$L$10:$L$39,MATCH($H1237,'Settings'!$I$10:$I$39,0)),0))</f>
        <v/>
      </c>
      <c r="R1237" s="17">
        <f>IF($A1237="","",$A1237-WEEKDAY($A1237,2)+1)</f>
        <v/>
      </c>
    </row>
    <row r="1238">
      <c r="A1238" s="5" t="n"/>
      <c r="B1238" s="4" t="n"/>
      <c r="C1238" s="4" t="n"/>
      <c r="D1238" s="4" t="n"/>
      <c r="E1238" s="4" t="n"/>
      <c r="F1238" s="4" t="n"/>
      <c r="G1238" s="4" t="n"/>
      <c r="H1238" s="4" t="n"/>
      <c r="I1238" s="9">
        <f>IF($H1238="","",IFERROR(INDEX('Settings'!$J$10:$J$39,MATCH($H1238,'Settings'!$I$10:$I$39,0)),""))</f>
        <v/>
      </c>
      <c r="J1238" s="6" t="n"/>
      <c r="K1238" s="8" t="n"/>
      <c r="L1238" s="8" t="n"/>
      <c r="M1238" s="14">
        <f>IF($A1238="","",$J1238*$K1238)</f>
        <v/>
      </c>
      <c r="N1238" s="14">
        <f>IF($A1238="","",$M1238-$L1238)</f>
        <v/>
      </c>
      <c r="O1238" s="4" t="n"/>
      <c r="P1238" s="15">
        <f>IF($A1238="","",DATE(YEAR($A1238),MONTH($A1238),1))</f>
        <v/>
      </c>
      <c r="Q1238" s="16">
        <f>IF($H1238="","",$J1238*IFERROR(INDEX('Settings'!$L$10:$L$39,MATCH($H1238,'Settings'!$I$10:$I$39,0)),0))</f>
        <v/>
      </c>
      <c r="R1238" s="17">
        <f>IF($A1238="","",$A1238-WEEKDAY($A1238,2)+1)</f>
        <v/>
      </c>
    </row>
    <row r="1239">
      <c r="A1239" s="5" t="n"/>
      <c r="B1239" s="4" t="n"/>
      <c r="C1239" s="4" t="n"/>
      <c r="D1239" s="4" t="n"/>
      <c r="E1239" s="4" t="n"/>
      <c r="F1239" s="4" t="n"/>
      <c r="G1239" s="4" t="n"/>
      <c r="H1239" s="4" t="n"/>
      <c r="I1239" s="9">
        <f>IF($H1239="","",IFERROR(INDEX('Settings'!$J$10:$J$39,MATCH($H1239,'Settings'!$I$10:$I$39,0)),""))</f>
        <v/>
      </c>
      <c r="J1239" s="6" t="n"/>
      <c r="K1239" s="8" t="n"/>
      <c r="L1239" s="8" t="n"/>
      <c r="M1239" s="14">
        <f>IF($A1239="","",$J1239*$K1239)</f>
        <v/>
      </c>
      <c r="N1239" s="14">
        <f>IF($A1239="","",$M1239-$L1239)</f>
        <v/>
      </c>
      <c r="O1239" s="4" t="n"/>
      <c r="P1239" s="15">
        <f>IF($A1239="","",DATE(YEAR($A1239),MONTH($A1239),1))</f>
        <v/>
      </c>
      <c r="Q1239" s="16">
        <f>IF($H1239="","",$J1239*IFERROR(INDEX('Settings'!$L$10:$L$39,MATCH($H1239,'Settings'!$I$10:$I$39,0)),0))</f>
        <v/>
      </c>
      <c r="R1239" s="17">
        <f>IF($A1239="","",$A1239-WEEKDAY($A1239,2)+1)</f>
        <v/>
      </c>
    </row>
    <row r="1240">
      <c r="A1240" s="5" t="n"/>
      <c r="B1240" s="4" t="n"/>
      <c r="C1240" s="4" t="n"/>
      <c r="D1240" s="4" t="n"/>
      <c r="E1240" s="4" t="n"/>
      <c r="F1240" s="4" t="n"/>
      <c r="G1240" s="4" t="n"/>
      <c r="H1240" s="4" t="n"/>
      <c r="I1240" s="9">
        <f>IF($H1240="","",IFERROR(INDEX('Settings'!$J$10:$J$39,MATCH($H1240,'Settings'!$I$10:$I$39,0)),""))</f>
        <v/>
      </c>
      <c r="J1240" s="6" t="n"/>
      <c r="K1240" s="8" t="n"/>
      <c r="L1240" s="8" t="n"/>
      <c r="M1240" s="14">
        <f>IF($A1240="","",$J1240*$K1240)</f>
        <v/>
      </c>
      <c r="N1240" s="14">
        <f>IF($A1240="","",$M1240-$L1240)</f>
        <v/>
      </c>
      <c r="O1240" s="4" t="n"/>
      <c r="P1240" s="15">
        <f>IF($A1240="","",DATE(YEAR($A1240),MONTH($A1240),1))</f>
        <v/>
      </c>
      <c r="Q1240" s="16">
        <f>IF($H1240="","",$J1240*IFERROR(INDEX('Settings'!$L$10:$L$39,MATCH($H1240,'Settings'!$I$10:$I$39,0)),0))</f>
        <v/>
      </c>
      <c r="R1240" s="17">
        <f>IF($A1240="","",$A1240-WEEKDAY($A1240,2)+1)</f>
        <v/>
      </c>
    </row>
    <row r="1241">
      <c r="A1241" s="5" t="n"/>
      <c r="B1241" s="4" t="n"/>
      <c r="C1241" s="4" t="n"/>
      <c r="D1241" s="4" t="n"/>
      <c r="E1241" s="4" t="n"/>
      <c r="F1241" s="4" t="n"/>
      <c r="G1241" s="4" t="n"/>
      <c r="H1241" s="4" t="n"/>
      <c r="I1241" s="9">
        <f>IF($H1241="","",IFERROR(INDEX('Settings'!$J$10:$J$39,MATCH($H1241,'Settings'!$I$10:$I$39,0)),""))</f>
        <v/>
      </c>
      <c r="J1241" s="6" t="n"/>
      <c r="K1241" s="8" t="n"/>
      <c r="L1241" s="8" t="n"/>
      <c r="M1241" s="14">
        <f>IF($A1241="","",$J1241*$K1241)</f>
        <v/>
      </c>
      <c r="N1241" s="14">
        <f>IF($A1241="","",$M1241-$L1241)</f>
        <v/>
      </c>
      <c r="O1241" s="4" t="n"/>
      <c r="P1241" s="15">
        <f>IF($A1241="","",DATE(YEAR($A1241),MONTH($A1241),1))</f>
        <v/>
      </c>
      <c r="Q1241" s="16">
        <f>IF($H1241="","",$J1241*IFERROR(INDEX('Settings'!$L$10:$L$39,MATCH($H1241,'Settings'!$I$10:$I$39,0)),0))</f>
        <v/>
      </c>
      <c r="R1241" s="17">
        <f>IF($A1241="","",$A1241-WEEKDAY($A1241,2)+1)</f>
        <v/>
      </c>
    </row>
    <row r="1242">
      <c r="A1242" s="5" t="n"/>
      <c r="B1242" s="4" t="n"/>
      <c r="C1242" s="4" t="n"/>
      <c r="D1242" s="4" t="n"/>
      <c r="E1242" s="4" t="n"/>
      <c r="F1242" s="4" t="n"/>
      <c r="G1242" s="4" t="n"/>
      <c r="H1242" s="4" t="n"/>
      <c r="I1242" s="9">
        <f>IF($H1242="","",IFERROR(INDEX('Settings'!$J$10:$J$39,MATCH($H1242,'Settings'!$I$10:$I$39,0)),""))</f>
        <v/>
      </c>
      <c r="J1242" s="6" t="n"/>
      <c r="K1242" s="8" t="n"/>
      <c r="L1242" s="8" t="n"/>
      <c r="M1242" s="14">
        <f>IF($A1242="","",$J1242*$K1242)</f>
        <v/>
      </c>
      <c r="N1242" s="14">
        <f>IF($A1242="","",$M1242-$L1242)</f>
        <v/>
      </c>
      <c r="O1242" s="4" t="n"/>
      <c r="P1242" s="15">
        <f>IF($A1242="","",DATE(YEAR($A1242),MONTH($A1242),1))</f>
        <v/>
      </c>
      <c r="Q1242" s="16">
        <f>IF($H1242="","",$J1242*IFERROR(INDEX('Settings'!$L$10:$L$39,MATCH($H1242,'Settings'!$I$10:$I$39,0)),0))</f>
        <v/>
      </c>
      <c r="R1242" s="17">
        <f>IF($A1242="","",$A1242-WEEKDAY($A1242,2)+1)</f>
        <v/>
      </c>
    </row>
    <row r="1243">
      <c r="A1243" s="5" t="n"/>
      <c r="B1243" s="4" t="n"/>
      <c r="C1243" s="4" t="n"/>
      <c r="D1243" s="4" t="n"/>
      <c r="E1243" s="4" t="n"/>
      <c r="F1243" s="4" t="n"/>
      <c r="G1243" s="4" t="n"/>
      <c r="H1243" s="4" t="n"/>
      <c r="I1243" s="9">
        <f>IF($H1243="","",IFERROR(INDEX('Settings'!$J$10:$J$39,MATCH($H1243,'Settings'!$I$10:$I$39,0)),""))</f>
        <v/>
      </c>
      <c r="J1243" s="6" t="n"/>
      <c r="K1243" s="8" t="n"/>
      <c r="L1243" s="8" t="n"/>
      <c r="M1243" s="14">
        <f>IF($A1243="","",$J1243*$K1243)</f>
        <v/>
      </c>
      <c r="N1243" s="14">
        <f>IF($A1243="","",$M1243-$L1243)</f>
        <v/>
      </c>
      <c r="O1243" s="4" t="n"/>
      <c r="P1243" s="15">
        <f>IF($A1243="","",DATE(YEAR($A1243),MONTH($A1243),1))</f>
        <v/>
      </c>
      <c r="Q1243" s="16">
        <f>IF($H1243="","",$J1243*IFERROR(INDEX('Settings'!$L$10:$L$39,MATCH($H1243,'Settings'!$I$10:$I$39,0)),0))</f>
        <v/>
      </c>
      <c r="R1243" s="17">
        <f>IF($A1243="","",$A1243-WEEKDAY($A1243,2)+1)</f>
        <v/>
      </c>
    </row>
    <row r="1244">
      <c r="A1244" s="5" t="n"/>
      <c r="B1244" s="4" t="n"/>
      <c r="C1244" s="4" t="n"/>
      <c r="D1244" s="4" t="n"/>
      <c r="E1244" s="4" t="n"/>
      <c r="F1244" s="4" t="n"/>
      <c r="G1244" s="4" t="n"/>
      <c r="H1244" s="4" t="n"/>
      <c r="I1244" s="9">
        <f>IF($H1244="","",IFERROR(INDEX('Settings'!$J$10:$J$39,MATCH($H1244,'Settings'!$I$10:$I$39,0)),""))</f>
        <v/>
      </c>
      <c r="J1244" s="6" t="n"/>
      <c r="K1244" s="8" t="n"/>
      <c r="L1244" s="8" t="n"/>
      <c r="M1244" s="14">
        <f>IF($A1244="","",$J1244*$K1244)</f>
        <v/>
      </c>
      <c r="N1244" s="14">
        <f>IF($A1244="","",$M1244-$L1244)</f>
        <v/>
      </c>
      <c r="O1244" s="4" t="n"/>
      <c r="P1244" s="15">
        <f>IF($A1244="","",DATE(YEAR($A1244),MONTH($A1244),1))</f>
        <v/>
      </c>
      <c r="Q1244" s="16">
        <f>IF($H1244="","",$J1244*IFERROR(INDEX('Settings'!$L$10:$L$39,MATCH($H1244,'Settings'!$I$10:$I$39,0)),0))</f>
        <v/>
      </c>
      <c r="R1244" s="17">
        <f>IF($A1244="","",$A1244-WEEKDAY($A1244,2)+1)</f>
        <v/>
      </c>
    </row>
    <row r="1245">
      <c r="A1245" s="5" t="n"/>
      <c r="B1245" s="4" t="n"/>
      <c r="C1245" s="4" t="n"/>
      <c r="D1245" s="4" t="n"/>
      <c r="E1245" s="4" t="n"/>
      <c r="F1245" s="4" t="n"/>
      <c r="G1245" s="4" t="n"/>
      <c r="H1245" s="4" t="n"/>
      <c r="I1245" s="9">
        <f>IF($H1245="","",IFERROR(INDEX('Settings'!$J$10:$J$39,MATCH($H1245,'Settings'!$I$10:$I$39,0)),""))</f>
        <v/>
      </c>
      <c r="J1245" s="6" t="n"/>
      <c r="K1245" s="8" t="n"/>
      <c r="L1245" s="8" t="n"/>
      <c r="M1245" s="14">
        <f>IF($A1245="","",$J1245*$K1245)</f>
        <v/>
      </c>
      <c r="N1245" s="14">
        <f>IF($A1245="","",$M1245-$L1245)</f>
        <v/>
      </c>
      <c r="O1245" s="4" t="n"/>
      <c r="P1245" s="15">
        <f>IF($A1245="","",DATE(YEAR($A1245),MONTH($A1245),1))</f>
        <v/>
      </c>
      <c r="Q1245" s="16">
        <f>IF($H1245="","",$J1245*IFERROR(INDEX('Settings'!$L$10:$L$39,MATCH($H1245,'Settings'!$I$10:$I$39,0)),0))</f>
        <v/>
      </c>
      <c r="R1245" s="17">
        <f>IF($A1245="","",$A1245-WEEKDAY($A1245,2)+1)</f>
        <v/>
      </c>
    </row>
    <row r="1246">
      <c r="A1246" s="5" t="n"/>
      <c r="B1246" s="4" t="n"/>
      <c r="C1246" s="4" t="n"/>
      <c r="D1246" s="4" t="n"/>
      <c r="E1246" s="4" t="n"/>
      <c r="F1246" s="4" t="n"/>
      <c r="G1246" s="4" t="n"/>
      <c r="H1246" s="4" t="n"/>
      <c r="I1246" s="9">
        <f>IF($H1246="","",IFERROR(INDEX('Settings'!$J$10:$J$39,MATCH($H1246,'Settings'!$I$10:$I$39,0)),""))</f>
        <v/>
      </c>
      <c r="J1246" s="6" t="n"/>
      <c r="K1246" s="8" t="n"/>
      <c r="L1246" s="8" t="n"/>
      <c r="M1246" s="14">
        <f>IF($A1246="","",$J1246*$K1246)</f>
        <v/>
      </c>
      <c r="N1246" s="14">
        <f>IF($A1246="","",$M1246-$L1246)</f>
        <v/>
      </c>
      <c r="O1246" s="4" t="n"/>
      <c r="P1246" s="15">
        <f>IF($A1246="","",DATE(YEAR($A1246),MONTH($A1246),1))</f>
        <v/>
      </c>
      <c r="Q1246" s="16">
        <f>IF($H1246="","",$J1246*IFERROR(INDEX('Settings'!$L$10:$L$39,MATCH($H1246,'Settings'!$I$10:$I$39,0)),0))</f>
        <v/>
      </c>
      <c r="R1246" s="17">
        <f>IF($A1246="","",$A1246-WEEKDAY($A1246,2)+1)</f>
        <v/>
      </c>
    </row>
    <row r="1247">
      <c r="A1247" s="5" t="n"/>
      <c r="B1247" s="4" t="n"/>
      <c r="C1247" s="4" t="n"/>
      <c r="D1247" s="4" t="n"/>
      <c r="E1247" s="4" t="n"/>
      <c r="F1247" s="4" t="n"/>
      <c r="G1247" s="4" t="n"/>
      <c r="H1247" s="4" t="n"/>
      <c r="I1247" s="9">
        <f>IF($H1247="","",IFERROR(INDEX('Settings'!$J$10:$J$39,MATCH($H1247,'Settings'!$I$10:$I$39,0)),""))</f>
        <v/>
      </c>
      <c r="J1247" s="6" t="n"/>
      <c r="K1247" s="8" t="n"/>
      <c r="L1247" s="8" t="n"/>
      <c r="M1247" s="14">
        <f>IF($A1247="","",$J1247*$K1247)</f>
        <v/>
      </c>
      <c r="N1247" s="14">
        <f>IF($A1247="","",$M1247-$L1247)</f>
        <v/>
      </c>
      <c r="O1247" s="4" t="n"/>
      <c r="P1247" s="15">
        <f>IF($A1247="","",DATE(YEAR($A1247),MONTH($A1247),1))</f>
        <v/>
      </c>
      <c r="Q1247" s="16">
        <f>IF($H1247="","",$J1247*IFERROR(INDEX('Settings'!$L$10:$L$39,MATCH($H1247,'Settings'!$I$10:$I$39,0)),0))</f>
        <v/>
      </c>
      <c r="R1247" s="17">
        <f>IF($A1247="","",$A1247-WEEKDAY($A1247,2)+1)</f>
        <v/>
      </c>
    </row>
    <row r="1248">
      <c r="A1248" s="5" t="n"/>
      <c r="B1248" s="4" t="n"/>
      <c r="C1248" s="4" t="n"/>
      <c r="D1248" s="4" t="n"/>
      <c r="E1248" s="4" t="n"/>
      <c r="F1248" s="4" t="n"/>
      <c r="G1248" s="4" t="n"/>
      <c r="H1248" s="4" t="n"/>
      <c r="I1248" s="9">
        <f>IF($H1248="","",IFERROR(INDEX('Settings'!$J$10:$J$39,MATCH($H1248,'Settings'!$I$10:$I$39,0)),""))</f>
        <v/>
      </c>
      <c r="J1248" s="6" t="n"/>
      <c r="K1248" s="8" t="n"/>
      <c r="L1248" s="8" t="n"/>
      <c r="M1248" s="14">
        <f>IF($A1248="","",$J1248*$K1248)</f>
        <v/>
      </c>
      <c r="N1248" s="14">
        <f>IF($A1248="","",$M1248-$L1248)</f>
        <v/>
      </c>
      <c r="O1248" s="4" t="n"/>
      <c r="P1248" s="15">
        <f>IF($A1248="","",DATE(YEAR($A1248),MONTH($A1248),1))</f>
        <v/>
      </c>
      <c r="Q1248" s="16">
        <f>IF($H1248="","",$J1248*IFERROR(INDEX('Settings'!$L$10:$L$39,MATCH($H1248,'Settings'!$I$10:$I$39,0)),0))</f>
        <v/>
      </c>
      <c r="R1248" s="17">
        <f>IF($A1248="","",$A1248-WEEKDAY($A1248,2)+1)</f>
        <v/>
      </c>
    </row>
    <row r="1249">
      <c r="A1249" s="5" t="n"/>
      <c r="B1249" s="4" t="n"/>
      <c r="C1249" s="4" t="n"/>
      <c r="D1249" s="4" t="n"/>
      <c r="E1249" s="4" t="n"/>
      <c r="F1249" s="4" t="n"/>
      <c r="G1249" s="4" t="n"/>
      <c r="H1249" s="4" t="n"/>
      <c r="I1249" s="9">
        <f>IF($H1249="","",IFERROR(INDEX('Settings'!$J$10:$J$39,MATCH($H1249,'Settings'!$I$10:$I$39,0)),""))</f>
        <v/>
      </c>
      <c r="J1249" s="6" t="n"/>
      <c r="K1249" s="8" t="n"/>
      <c r="L1249" s="8" t="n"/>
      <c r="M1249" s="14">
        <f>IF($A1249="","",$J1249*$K1249)</f>
        <v/>
      </c>
      <c r="N1249" s="14">
        <f>IF($A1249="","",$M1249-$L1249)</f>
        <v/>
      </c>
      <c r="O1249" s="4" t="n"/>
      <c r="P1249" s="15">
        <f>IF($A1249="","",DATE(YEAR($A1249),MONTH($A1249),1))</f>
        <v/>
      </c>
      <c r="Q1249" s="16">
        <f>IF($H1249="","",$J1249*IFERROR(INDEX('Settings'!$L$10:$L$39,MATCH($H1249,'Settings'!$I$10:$I$39,0)),0))</f>
        <v/>
      </c>
      <c r="R1249" s="17">
        <f>IF($A1249="","",$A1249-WEEKDAY($A1249,2)+1)</f>
        <v/>
      </c>
    </row>
    <row r="1250">
      <c r="A1250" s="5" t="n"/>
      <c r="B1250" s="4" t="n"/>
      <c r="C1250" s="4" t="n"/>
      <c r="D1250" s="4" t="n"/>
      <c r="E1250" s="4" t="n"/>
      <c r="F1250" s="4" t="n"/>
      <c r="G1250" s="4" t="n"/>
      <c r="H1250" s="4" t="n"/>
      <c r="I1250" s="9">
        <f>IF($H1250="","",IFERROR(INDEX('Settings'!$J$10:$J$39,MATCH($H1250,'Settings'!$I$10:$I$39,0)),""))</f>
        <v/>
      </c>
      <c r="J1250" s="6" t="n"/>
      <c r="K1250" s="8" t="n"/>
      <c r="L1250" s="8" t="n"/>
      <c r="M1250" s="14">
        <f>IF($A1250="","",$J1250*$K1250)</f>
        <v/>
      </c>
      <c r="N1250" s="14">
        <f>IF($A1250="","",$M1250-$L1250)</f>
        <v/>
      </c>
      <c r="O1250" s="4" t="n"/>
      <c r="P1250" s="15">
        <f>IF($A1250="","",DATE(YEAR($A1250),MONTH($A1250),1))</f>
        <v/>
      </c>
      <c r="Q1250" s="16">
        <f>IF($H1250="","",$J1250*IFERROR(INDEX('Settings'!$L$10:$L$39,MATCH($H1250,'Settings'!$I$10:$I$39,0)),0))</f>
        <v/>
      </c>
      <c r="R1250" s="17">
        <f>IF($A1250="","",$A1250-WEEKDAY($A1250,2)+1)</f>
        <v/>
      </c>
    </row>
    <row r="1251">
      <c r="A1251" s="5" t="n"/>
      <c r="B1251" s="4" t="n"/>
      <c r="C1251" s="4" t="n"/>
      <c r="D1251" s="4" t="n"/>
      <c r="E1251" s="4" t="n"/>
      <c r="F1251" s="4" t="n"/>
      <c r="G1251" s="4" t="n"/>
      <c r="H1251" s="4" t="n"/>
      <c r="I1251" s="9">
        <f>IF($H1251="","",IFERROR(INDEX('Settings'!$J$10:$J$39,MATCH($H1251,'Settings'!$I$10:$I$39,0)),""))</f>
        <v/>
      </c>
      <c r="J1251" s="6" t="n"/>
      <c r="K1251" s="8" t="n"/>
      <c r="L1251" s="8" t="n"/>
      <c r="M1251" s="14">
        <f>IF($A1251="","",$J1251*$K1251)</f>
        <v/>
      </c>
      <c r="N1251" s="14">
        <f>IF($A1251="","",$M1251-$L1251)</f>
        <v/>
      </c>
      <c r="O1251" s="4" t="n"/>
      <c r="P1251" s="15">
        <f>IF($A1251="","",DATE(YEAR($A1251),MONTH($A1251),1))</f>
        <v/>
      </c>
      <c r="Q1251" s="16">
        <f>IF($H1251="","",$J1251*IFERROR(INDEX('Settings'!$L$10:$L$39,MATCH($H1251,'Settings'!$I$10:$I$39,0)),0))</f>
        <v/>
      </c>
      <c r="R1251" s="17">
        <f>IF($A1251="","",$A1251-WEEKDAY($A1251,2)+1)</f>
        <v/>
      </c>
    </row>
    <row r="1252">
      <c r="A1252" s="5" t="n"/>
      <c r="B1252" s="4" t="n"/>
      <c r="C1252" s="4" t="n"/>
      <c r="D1252" s="4" t="n"/>
      <c r="E1252" s="4" t="n"/>
      <c r="F1252" s="4" t="n"/>
      <c r="G1252" s="4" t="n"/>
      <c r="H1252" s="4" t="n"/>
      <c r="I1252" s="9">
        <f>IF($H1252="","",IFERROR(INDEX('Settings'!$J$10:$J$39,MATCH($H1252,'Settings'!$I$10:$I$39,0)),""))</f>
        <v/>
      </c>
      <c r="J1252" s="6" t="n"/>
      <c r="K1252" s="8" t="n"/>
      <c r="L1252" s="8" t="n"/>
      <c r="M1252" s="14">
        <f>IF($A1252="","",$J1252*$K1252)</f>
        <v/>
      </c>
      <c r="N1252" s="14">
        <f>IF($A1252="","",$M1252-$L1252)</f>
        <v/>
      </c>
      <c r="O1252" s="4" t="n"/>
      <c r="P1252" s="15">
        <f>IF($A1252="","",DATE(YEAR($A1252),MONTH($A1252),1))</f>
        <v/>
      </c>
      <c r="Q1252" s="16">
        <f>IF($H1252="","",$J1252*IFERROR(INDEX('Settings'!$L$10:$L$39,MATCH($H1252,'Settings'!$I$10:$I$39,0)),0))</f>
        <v/>
      </c>
      <c r="R1252" s="17">
        <f>IF($A1252="","",$A1252-WEEKDAY($A1252,2)+1)</f>
        <v/>
      </c>
    </row>
    <row r="1253">
      <c r="A1253" s="5" t="n"/>
      <c r="B1253" s="4" t="n"/>
      <c r="C1253" s="4" t="n"/>
      <c r="D1253" s="4" t="n"/>
      <c r="E1253" s="4" t="n"/>
      <c r="F1253" s="4" t="n"/>
      <c r="G1253" s="4" t="n"/>
      <c r="H1253" s="4" t="n"/>
      <c r="I1253" s="9">
        <f>IF($H1253="","",IFERROR(INDEX('Settings'!$J$10:$J$39,MATCH($H1253,'Settings'!$I$10:$I$39,0)),""))</f>
        <v/>
      </c>
      <c r="J1253" s="6" t="n"/>
      <c r="K1253" s="8" t="n"/>
      <c r="L1253" s="8" t="n"/>
      <c r="M1253" s="14">
        <f>IF($A1253="","",$J1253*$K1253)</f>
        <v/>
      </c>
      <c r="N1253" s="14">
        <f>IF($A1253="","",$M1253-$L1253)</f>
        <v/>
      </c>
      <c r="O1253" s="4" t="n"/>
      <c r="P1253" s="15">
        <f>IF($A1253="","",DATE(YEAR($A1253),MONTH($A1253),1))</f>
        <v/>
      </c>
      <c r="Q1253" s="16">
        <f>IF($H1253="","",$J1253*IFERROR(INDEX('Settings'!$L$10:$L$39,MATCH($H1253,'Settings'!$I$10:$I$39,0)),0))</f>
        <v/>
      </c>
      <c r="R1253" s="17">
        <f>IF($A1253="","",$A1253-WEEKDAY($A1253,2)+1)</f>
        <v/>
      </c>
    </row>
    <row r="1254">
      <c r="A1254" s="5" t="n"/>
      <c r="B1254" s="4" t="n"/>
      <c r="C1254" s="4" t="n"/>
      <c r="D1254" s="4" t="n"/>
      <c r="E1254" s="4" t="n"/>
      <c r="F1254" s="4" t="n"/>
      <c r="G1254" s="4" t="n"/>
      <c r="H1254" s="4" t="n"/>
      <c r="I1254" s="9">
        <f>IF($H1254="","",IFERROR(INDEX('Settings'!$J$10:$J$39,MATCH($H1254,'Settings'!$I$10:$I$39,0)),""))</f>
        <v/>
      </c>
      <c r="J1254" s="6" t="n"/>
      <c r="K1254" s="8" t="n"/>
      <c r="L1254" s="8" t="n"/>
      <c r="M1254" s="14">
        <f>IF($A1254="","",$J1254*$K1254)</f>
        <v/>
      </c>
      <c r="N1254" s="14">
        <f>IF($A1254="","",$M1254-$L1254)</f>
        <v/>
      </c>
      <c r="O1254" s="4" t="n"/>
      <c r="P1254" s="15">
        <f>IF($A1254="","",DATE(YEAR($A1254),MONTH($A1254),1))</f>
        <v/>
      </c>
      <c r="Q1254" s="16">
        <f>IF($H1254="","",$J1254*IFERROR(INDEX('Settings'!$L$10:$L$39,MATCH($H1254,'Settings'!$I$10:$I$39,0)),0))</f>
        <v/>
      </c>
      <c r="R1254" s="17">
        <f>IF($A1254="","",$A1254-WEEKDAY($A1254,2)+1)</f>
        <v/>
      </c>
    </row>
    <row r="1255">
      <c r="A1255" s="5" t="n"/>
      <c r="B1255" s="4" t="n"/>
      <c r="C1255" s="4" t="n"/>
      <c r="D1255" s="4" t="n"/>
      <c r="E1255" s="4" t="n"/>
      <c r="F1255" s="4" t="n"/>
      <c r="G1255" s="4" t="n"/>
      <c r="H1255" s="4" t="n"/>
      <c r="I1255" s="9">
        <f>IF($H1255="","",IFERROR(INDEX('Settings'!$J$10:$J$39,MATCH($H1255,'Settings'!$I$10:$I$39,0)),""))</f>
        <v/>
      </c>
      <c r="J1255" s="6" t="n"/>
      <c r="K1255" s="8" t="n"/>
      <c r="L1255" s="8" t="n"/>
      <c r="M1255" s="14">
        <f>IF($A1255="","",$J1255*$K1255)</f>
        <v/>
      </c>
      <c r="N1255" s="14">
        <f>IF($A1255="","",$M1255-$L1255)</f>
        <v/>
      </c>
      <c r="O1255" s="4" t="n"/>
      <c r="P1255" s="15">
        <f>IF($A1255="","",DATE(YEAR($A1255),MONTH($A1255),1))</f>
        <v/>
      </c>
      <c r="Q1255" s="16">
        <f>IF($H1255="","",$J1255*IFERROR(INDEX('Settings'!$L$10:$L$39,MATCH($H1255,'Settings'!$I$10:$I$39,0)),0))</f>
        <v/>
      </c>
      <c r="R1255" s="17">
        <f>IF($A1255="","",$A1255-WEEKDAY($A1255,2)+1)</f>
        <v/>
      </c>
    </row>
    <row r="1256">
      <c r="A1256" s="5" t="n"/>
      <c r="B1256" s="4" t="n"/>
      <c r="C1256" s="4" t="n"/>
      <c r="D1256" s="4" t="n"/>
      <c r="E1256" s="4" t="n"/>
      <c r="F1256" s="4" t="n"/>
      <c r="G1256" s="4" t="n"/>
      <c r="H1256" s="4" t="n"/>
      <c r="I1256" s="9">
        <f>IF($H1256="","",IFERROR(INDEX('Settings'!$J$10:$J$39,MATCH($H1256,'Settings'!$I$10:$I$39,0)),""))</f>
        <v/>
      </c>
      <c r="J1256" s="6" t="n"/>
      <c r="K1256" s="8" t="n"/>
      <c r="L1256" s="8" t="n"/>
      <c r="M1256" s="14">
        <f>IF($A1256="","",$J1256*$K1256)</f>
        <v/>
      </c>
      <c r="N1256" s="14">
        <f>IF($A1256="","",$M1256-$L1256)</f>
        <v/>
      </c>
      <c r="O1256" s="4" t="n"/>
      <c r="P1256" s="15">
        <f>IF($A1256="","",DATE(YEAR($A1256),MONTH($A1256),1))</f>
        <v/>
      </c>
      <c r="Q1256" s="16">
        <f>IF($H1256="","",$J1256*IFERROR(INDEX('Settings'!$L$10:$L$39,MATCH($H1256,'Settings'!$I$10:$I$39,0)),0))</f>
        <v/>
      </c>
      <c r="R1256" s="17">
        <f>IF($A1256="","",$A1256-WEEKDAY($A1256,2)+1)</f>
        <v/>
      </c>
    </row>
    <row r="1257">
      <c r="A1257" s="5" t="n"/>
      <c r="B1257" s="4" t="n"/>
      <c r="C1257" s="4" t="n"/>
      <c r="D1257" s="4" t="n"/>
      <c r="E1257" s="4" t="n"/>
      <c r="F1257" s="4" t="n"/>
      <c r="G1257" s="4" t="n"/>
      <c r="H1257" s="4" t="n"/>
      <c r="I1257" s="9">
        <f>IF($H1257="","",IFERROR(INDEX('Settings'!$J$10:$J$39,MATCH($H1257,'Settings'!$I$10:$I$39,0)),""))</f>
        <v/>
      </c>
      <c r="J1257" s="6" t="n"/>
      <c r="K1257" s="8" t="n"/>
      <c r="L1257" s="8" t="n"/>
      <c r="M1257" s="14">
        <f>IF($A1257="","",$J1257*$K1257)</f>
        <v/>
      </c>
      <c r="N1257" s="14">
        <f>IF($A1257="","",$M1257-$L1257)</f>
        <v/>
      </c>
      <c r="O1257" s="4" t="n"/>
      <c r="P1257" s="15">
        <f>IF($A1257="","",DATE(YEAR($A1257),MONTH($A1257),1))</f>
        <v/>
      </c>
      <c r="Q1257" s="16">
        <f>IF($H1257="","",$J1257*IFERROR(INDEX('Settings'!$L$10:$L$39,MATCH($H1257,'Settings'!$I$10:$I$39,0)),0))</f>
        <v/>
      </c>
      <c r="R1257" s="17">
        <f>IF($A1257="","",$A1257-WEEKDAY($A1257,2)+1)</f>
        <v/>
      </c>
    </row>
    <row r="1258">
      <c r="A1258" s="5" t="n"/>
      <c r="B1258" s="4" t="n"/>
      <c r="C1258" s="4" t="n"/>
      <c r="D1258" s="4" t="n"/>
      <c r="E1258" s="4" t="n"/>
      <c r="F1258" s="4" t="n"/>
      <c r="G1258" s="4" t="n"/>
      <c r="H1258" s="4" t="n"/>
      <c r="I1258" s="9">
        <f>IF($H1258="","",IFERROR(INDEX('Settings'!$J$10:$J$39,MATCH($H1258,'Settings'!$I$10:$I$39,0)),""))</f>
        <v/>
      </c>
      <c r="J1258" s="6" t="n"/>
      <c r="K1258" s="8" t="n"/>
      <c r="L1258" s="8" t="n"/>
      <c r="M1258" s="14">
        <f>IF($A1258="","",$J1258*$K1258)</f>
        <v/>
      </c>
      <c r="N1258" s="14">
        <f>IF($A1258="","",$M1258-$L1258)</f>
        <v/>
      </c>
      <c r="O1258" s="4" t="n"/>
      <c r="P1258" s="15">
        <f>IF($A1258="","",DATE(YEAR($A1258),MONTH($A1258),1))</f>
        <v/>
      </c>
      <c r="Q1258" s="16">
        <f>IF($H1258="","",$J1258*IFERROR(INDEX('Settings'!$L$10:$L$39,MATCH($H1258,'Settings'!$I$10:$I$39,0)),0))</f>
        <v/>
      </c>
      <c r="R1258" s="17">
        <f>IF($A1258="","",$A1258-WEEKDAY($A1258,2)+1)</f>
        <v/>
      </c>
    </row>
    <row r="1259">
      <c r="A1259" s="5" t="n"/>
      <c r="B1259" s="4" t="n"/>
      <c r="C1259" s="4" t="n"/>
      <c r="D1259" s="4" t="n"/>
      <c r="E1259" s="4" t="n"/>
      <c r="F1259" s="4" t="n"/>
      <c r="G1259" s="4" t="n"/>
      <c r="H1259" s="4" t="n"/>
      <c r="I1259" s="9">
        <f>IF($H1259="","",IFERROR(INDEX('Settings'!$J$10:$J$39,MATCH($H1259,'Settings'!$I$10:$I$39,0)),""))</f>
        <v/>
      </c>
      <c r="J1259" s="6" t="n"/>
      <c r="K1259" s="8" t="n"/>
      <c r="L1259" s="8" t="n"/>
      <c r="M1259" s="14">
        <f>IF($A1259="","",$J1259*$K1259)</f>
        <v/>
      </c>
      <c r="N1259" s="14">
        <f>IF($A1259="","",$M1259-$L1259)</f>
        <v/>
      </c>
      <c r="O1259" s="4" t="n"/>
      <c r="P1259" s="15">
        <f>IF($A1259="","",DATE(YEAR($A1259),MONTH($A1259),1))</f>
        <v/>
      </c>
      <c r="Q1259" s="16">
        <f>IF($H1259="","",$J1259*IFERROR(INDEX('Settings'!$L$10:$L$39,MATCH($H1259,'Settings'!$I$10:$I$39,0)),0))</f>
        <v/>
      </c>
      <c r="R1259" s="17">
        <f>IF($A1259="","",$A1259-WEEKDAY($A1259,2)+1)</f>
        <v/>
      </c>
    </row>
    <row r="1260">
      <c r="A1260" s="5" t="n"/>
      <c r="B1260" s="4" t="n"/>
      <c r="C1260" s="4" t="n"/>
      <c r="D1260" s="4" t="n"/>
      <c r="E1260" s="4" t="n"/>
      <c r="F1260" s="4" t="n"/>
      <c r="G1260" s="4" t="n"/>
      <c r="H1260" s="4" t="n"/>
      <c r="I1260" s="9">
        <f>IF($H1260="","",IFERROR(INDEX('Settings'!$J$10:$J$39,MATCH($H1260,'Settings'!$I$10:$I$39,0)),""))</f>
        <v/>
      </c>
      <c r="J1260" s="6" t="n"/>
      <c r="K1260" s="8" t="n"/>
      <c r="L1260" s="8" t="n"/>
      <c r="M1260" s="14">
        <f>IF($A1260="","",$J1260*$K1260)</f>
        <v/>
      </c>
      <c r="N1260" s="14">
        <f>IF($A1260="","",$M1260-$L1260)</f>
        <v/>
      </c>
      <c r="O1260" s="4" t="n"/>
      <c r="P1260" s="15">
        <f>IF($A1260="","",DATE(YEAR($A1260),MONTH($A1260),1))</f>
        <v/>
      </c>
      <c r="Q1260" s="16">
        <f>IF($H1260="","",$J1260*IFERROR(INDEX('Settings'!$L$10:$L$39,MATCH($H1260,'Settings'!$I$10:$I$39,0)),0))</f>
        <v/>
      </c>
      <c r="R1260" s="17">
        <f>IF($A1260="","",$A1260-WEEKDAY($A1260,2)+1)</f>
        <v/>
      </c>
    </row>
    <row r="1261">
      <c r="A1261" s="5" t="n"/>
      <c r="B1261" s="4" t="n"/>
      <c r="C1261" s="4" t="n"/>
      <c r="D1261" s="4" t="n"/>
      <c r="E1261" s="4" t="n"/>
      <c r="F1261" s="4" t="n"/>
      <c r="G1261" s="4" t="n"/>
      <c r="H1261" s="4" t="n"/>
      <c r="I1261" s="9">
        <f>IF($H1261="","",IFERROR(INDEX('Settings'!$J$10:$J$39,MATCH($H1261,'Settings'!$I$10:$I$39,0)),""))</f>
        <v/>
      </c>
      <c r="J1261" s="6" t="n"/>
      <c r="K1261" s="8" t="n"/>
      <c r="L1261" s="8" t="n"/>
      <c r="M1261" s="14">
        <f>IF($A1261="","",$J1261*$K1261)</f>
        <v/>
      </c>
      <c r="N1261" s="14">
        <f>IF($A1261="","",$M1261-$L1261)</f>
        <v/>
      </c>
      <c r="O1261" s="4" t="n"/>
      <c r="P1261" s="15">
        <f>IF($A1261="","",DATE(YEAR($A1261),MONTH($A1261),1))</f>
        <v/>
      </c>
      <c r="Q1261" s="16">
        <f>IF($H1261="","",$J1261*IFERROR(INDEX('Settings'!$L$10:$L$39,MATCH($H1261,'Settings'!$I$10:$I$39,0)),0))</f>
        <v/>
      </c>
      <c r="R1261" s="17">
        <f>IF($A1261="","",$A1261-WEEKDAY($A1261,2)+1)</f>
        <v/>
      </c>
    </row>
    <row r="1262">
      <c r="A1262" s="5" t="n"/>
      <c r="B1262" s="4" t="n"/>
      <c r="C1262" s="4" t="n"/>
      <c r="D1262" s="4" t="n"/>
      <c r="E1262" s="4" t="n"/>
      <c r="F1262" s="4" t="n"/>
      <c r="G1262" s="4" t="n"/>
      <c r="H1262" s="4" t="n"/>
      <c r="I1262" s="9">
        <f>IF($H1262="","",IFERROR(INDEX('Settings'!$J$10:$J$39,MATCH($H1262,'Settings'!$I$10:$I$39,0)),""))</f>
        <v/>
      </c>
      <c r="J1262" s="6" t="n"/>
      <c r="K1262" s="8" t="n"/>
      <c r="L1262" s="8" t="n"/>
      <c r="M1262" s="14">
        <f>IF($A1262="","",$J1262*$K1262)</f>
        <v/>
      </c>
      <c r="N1262" s="14">
        <f>IF($A1262="","",$M1262-$L1262)</f>
        <v/>
      </c>
      <c r="O1262" s="4" t="n"/>
      <c r="P1262" s="15">
        <f>IF($A1262="","",DATE(YEAR($A1262),MONTH($A1262),1))</f>
        <v/>
      </c>
      <c r="Q1262" s="16">
        <f>IF($H1262="","",$J1262*IFERROR(INDEX('Settings'!$L$10:$L$39,MATCH($H1262,'Settings'!$I$10:$I$39,0)),0))</f>
        <v/>
      </c>
      <c r="R1262" s="17">
        <f>IF($A1262="","",$A1262-WEEKDAY($A1262,2)+1)</f>
        <v/>
      </c>
    </row>
    <row r="1263">
      <c r="A1263" s="5" t="n"/>
      <c r="B1263" s="4" t="n"/>
      <c r="C1263" s="4" t="n"/>
      <c r="D1263" s="4" t="n"/>
      <c r="E1263" s="4" t="n"/>
      <c r="F1263" s="4" t="n"/>
      <c r="G1263" s="4" t="n"/>
      <c r="H1263" s="4" t="n"/>
      <c r="I1263" s="9">
        <f>IF($H1263="","",IFERROR(INDEX('Settings'!$J$10:$J$39,MATCH($H1263,'Settings'!$I$10:$I$39,0)),""))</f>
        <v/>
      </c>
      <c r="J1263" s="6" t="n"/>
      <c r="K1263" s="8" t="n"/>
      <c r="L1263" s="8" t="n"/>
      <c r="M1263" s="14">
        <f>IF($A1263="","",$J1263*$K1263)</f>
        <v/>
      </c>
      <c r="N1263" s="14">
        <f>IF($A1263="","",$M1263-$L1263)</f>
        <v/>
      </c>
      <c r="O1263" s="4" t="n"/>
      <c r="P1263" s="15">
        <f>IF($A1263="","",DATE(YEAR($A1263),MONTH($A1263),1))</f>
        <v/>
      </c>
      <c r="Q1263" s="16">
        <f>IF($H1263="","",$J1263*IFERROR(INDEX('Settings'!$L$10:$L$39,MATCH($H1263,'Settings'!$I$10:$I$39,0)),0))</f>
        <v/>
      </c>
      <c r="R1263" s="17">
        <f>IF($A1263="","",$A1263-WEEKDAY($A1263,2)+1)</f>
        <v/>
      </c>
    </row>
    <row r="1264">
      <c r="A1264" s="5" t="n"/>
      <c r="B1264" s="4" t="n"/>
      <c r="C1264" s="4" t="n"/>
      <c r="D1264" s="4" t="n"/>
      <c r="E1264" s="4" t="n"/>
      <c r="F1264" s="4" t="n"/>
      <c r="G1264" s="4" t="n"/>
      <c r="H1264" s="4" t="n"/>
      <c r="I1264" s="9">
        <f>IF($H1264="","",IFERROR(INDEX('Settings'!$J$10:$J$39,MATCH($H1264,'Settings'!$I$10:$I$39,0)),""))</f>
        <v/>
      </c>
      <c r="J1264" s="6" t="n"/>
      <c r="K1264" s="8" t="n"/>
      <c r="L1264" s="8" t="n"/>
      <c r="M1264" s="14">
        <f>IF($A1264="","",$J1264*$K1264)</f>
        <v/>
      </c>
      <c r="N1264" s="14">
        <f>IF($A1264="","",$M1264-$L1264)</f>
        <v/>
      </c>
      <c r="O1264" s="4" t="n"/>
      <c r="P1264" s="15">
        <f>IF($A1264="","",DATE(YEAR($A1264),MONTH($A1264),1))</f>
        <v/>
      </c>
      <c r="Q1264" s="16">
        <f>IF($H1264="","",$J1264*IFERROR(INDEX('Settings'!$L$10:$L$39,MATCH($H1264,'Settings'!$I$10:$I$39,0)),0))</f>
        <v/>
      </c>
      <c r="R1264" s="17">
        <f>IF($A1264="","",$A1264-WEEKDAY($A1264,2)+1)</f>
        <v/>
      </c>
    </row>
    <row r="1265">
      <c r="A1265" s="5" t="n"/>
      <c r="B1265" s="4" t="n"/>
      <c r="C1265" s="4" t="n"/>
      <c r="D1265" s="4" t="n"/>
      <c r="E1265" s="4" t="n"/>
      <c r="F1265" s="4" t="n"/>
      <c r="G1265" s="4" t="n"/>
      <c r="H1265" s="4" t="n"/>
      <c r="I1265" s="9">
        <f>IF($H1265="","",IFERROR(INDEX('Settings'!$J$10:$J$39,MATCH($H1265,'Settings'!$I$10:$I$39,0)),""))</f>
        <v/>
      </c>
      <c r="J1265" s="6" t="n"/>
      <c r="K1265" s="8" t="n"/>
      <c r="L1265" s="8" t="n"/>
      <c r="M1265" s="14">
        <f>IF($A1265="","",$J1265*$K1265)</f>
        <v/>
      </c>
      <c r="N1265" s="14">
        <f>IF($A1265="","",$M1265-$L1265)</f>
        <v/>
      </c>
      <c r="O1265" s="4" t="n"/>
      <c r="P1265" s="15">
        <f>IF($A1265="","",DATE(YEAR($A1265),MONTH($A1265),1))</f>
        <v/>
      </c>
      <c r="Q1265" s="16">
        <f>IF($H1265="","",$J1265*IFERROR(INDEX('Settings'!$L$10:$L$39,MATCH($H1265,'Settings'!$I$10:$I$39,0)),0))</f>
        <v/>
      </c>
      <c r="R1265" s="17">
        <f>IF($A1265="","",$A1265-WEEKDAY($A1265,2)+1)</f>
        <v/>
      </c>
    </row>
    <row r="1266">
      <c r="A1266" s="5" t="n"/>
      <c r="B1266" s="4" t="n"/>
      <c r="C1266" s="4" t="n"/>
      <c r="D1266" s="4" t="n"/>
      <c r="E1266" s="4" t="n"/>
      <c r="F1266" s="4" t="n"/>
      <c r="G1266" s="4" t="n"/>
      <c r="H1266" s="4" t="n"/>
      <c r="I1266" s="9">
        <f>IF($H1266="","",IFERROR(INDEX('Settings'!$J$10:$J$39,MATCH($H1266,'Settings'!$I$10:$I$39,0)),""))</f>
        <v/>
      </c>
      <c r="J1266" s="6" t="n"/>
      <c r="K1266" s="8" t="n"/>
      <c r="L1266" s="8" t="n"/>
      <c r="M1266" s="14">
        <f>IF($A1266="","",$J1266*$K1266)</f>
        <v/>
      </c>
      <c r="N1266" s="14">
        <f>IF($A1266="","",$M1266-$L1266)</f>
        <v/>
      </c>
      <c r="O1266" s="4" t="n"/>
      <c r="P1266" s="15">
        <f>IF($A1266="","",DATE(YEAR($A1266),MONTH($A1266),1))</f>
        <v/>
      </c>
      <c r="Q1266" s="16">
        <f>IF($H1266="","",$J1266*IFERROR(INDEX('Settings'!$L$10:$L$39,MATCH($H1266,'Settings'!$I$10:$I$39,0)),0))</f>
        <v/>
      </c>
      <c r="R1266" s="17">
        <f>IF($A1266="","",$A1266-WEEKDAY($A1266,2)+1)</f>
        <v/>
      </c>
    </row>
    <row r="1267">
      <c r="A1267" s="5" t="n"/>
      <c r="B1267" s="4" t="n"/>
      <c r="C1267" s="4" t="n"/>
      <c r="D1267" s="4" t="n"/>
      <c r="E1267" s="4" t="n"/>
      <c r="F1267" s="4" t="n"/>
      <c r="G1267" s="4" t="n"/>
      <c r="H1267" s="4" t="n"/>
      <c r="I1267" s="9">
        <f>IF($H1267="","",IFERROR(INDEX('Settings'!$J$10:$J$39,MATCH($H1267,'Settings'!$I$10:$I$39,0)),""))</f>
        <v/>
      </c>
      <c r="J1267" s="6" t="n"/>
      <c r="K1267" s="8" t="n"/>
      <c r="L1267" s="8" t="n"/>
      <c r="M1267" s="14">
        <f>IF($A1267="","",$J1267*$K1267)</f>
        <v/>
      </c>
      <c r="N1267" s="14">
        <f>IF($A1267="","",$M1267-$L1267)</f>
        <v/>
      </c>
      <c r="O1267" s="4" t="n"/>
      <c r="P1267" s="15">
        <f>IF($A1267="","",DATE(YEAR($A1267),MONTH($A1267),1))</f>
        <v/>
      </c>
      <c r="Q1267" s="16">
        <f>IF($H1267="","",$J1267*IFERROR(INDEX('Settings'!$L$10:$L$39,MATCH($H1267,'Settings'!$I$10:$I$39,0)),0))</f>
        <v/>
      </c>
      <c r="R1267" s="17">
        <f>IF($A1267="","",$A1267-WEEKDAY($A1267,2)+1)</f>
        <v/>
      </c>
    </row>
    <row r="1268">
      <c r="A1268" s="5" t="n"/>
      <c r="B1268" s="4" t="n"/>
      <c r="C1268" s="4" t="n"/>
      <c r="D1268" s="4" t="n"/>
      <c r="E1268" s="4" t="n"/>
      <c r="F1268" s="4" t="n"/>
      <c r="G1268" s="4" t="n"/>
      <c r="H1268" s="4" t="n"/>
      <c r="I1268" s="9">
        <f>IF($H1268="","",IFERROR(INDEX('Settings'!$J$10:$J$39,MATCH($H1268,'Settings'!$I$10:$I$39,0)),""))</f>
        <v/>
      </c>
      <c r="J1268" s="6" t="n"/>
      <c r="K1268" s="8" t="n"/>
      <c r="L1268" s="8" t="n"/>
      <c r="M1268" s="14">
        <f>IF($A1268="","",$J1268*$K1268)</f>
        <v/>
      </c>
      <c r="N1268" s="14">
        <f>IF($A1268="","",$M1268-$L1268)</f>
        <v/>
      </c>
      <c r="O1268" s="4" t="n"/>
      <c r="P1268" s="15">
        <f>IF($A1268="","",DATE(YEAR($A1268),MONTH($A1268),1))</f>
        <v/>
      </c>
      <c r="Q1268" s="16">
        <f>IF($H1268="","",$J1268*IFERROR(INDEX('Settings'!$L$10:$L$39,MATCH($H1268,'Settings'!$I$10:$I$39,0)),0))</f>
        <v/>
      </c>
      <c r="R1268" s="17">
        <f>IF($A1268="","",$A1268-WEEKDAY($A1268,2)+1)</f>
        <v/>
      </c>
    </row>
    <row r="1269">
      <c r="A1269" s="5" t="n"/>
      <c r="B1269" s="4" t="n"/>
      <c r="C1269" s="4" t="n"/>
      <c r="D1269" s="4" t="n"/>
      <c r="E1269" s="4" t="n"/>
      <c r="F1269" s="4" t="n"/>
      <c r="G1269" s="4" t="n"/>
      <c r="H1269" s="4" t="n"/>
      <c r="I1269" s="9">
        <f>IF($H1269="","",IFERROR(INDEX('Settings'!$J$10:$J$39,MATCH($H1269,'Settings'!$I$10:$I$39,0)),""))</f>
        <v/>
      </c>
      <c r="J1269" s="6" t="n"/>
      <c r="K1269" s="8" t="n"/>
      <c r="L1269" s="8" t="n"/>
      <c r="M1269" s="14">
        <f>IF($A1269="","",$J1269*$K1269)</f>
        <v/>
      </c>
      <c r="N1269" s="14">
        <f>IF($A1269="","",$M1269-$L1269)</f>
        <v/>
      </c>
      <c r="O1269" s="4" t="n"/>
      <c r="P1269" s="15">
        <f>IF($A1269="","",DATE(YEAR($A1269),MONTH($A1269),1))</f>
        <v/>
      </c>
      <c r="Q1269" s="16">
        <f>IF($H1269="","",$J1269*IFERROR(INDEX('Settings'!$L$10:$L$39,MATCH($H1269,'Settings'!$I$10:$I$39,0)),0))</f>
        <v/>
      </c>
      <c r="R1269" s="17">
        <f>IF($A1269="","",$A1269-WEEKDAY($A1269,2)+1)</f>
        <v/>
      </c>
    </row>
    <row r="1270">
      <c r="A1270" s="5" t="n"/>
      <c r="B1270" s="4" t="n"/>
      <c r="C1270" s="4" t="n"/>
      <c r="D1270" s="4" t="n"/>
      <c r="E1270" s="4" t="n"/>
      <c r="F1270" s="4" t="n"/>
      <c r="G1270" s="4" t="n"/>
      <c r="H1270" s="4" t="n"/>
      <c r="I1270" s="9">
        <f>IF($H1270="","",IFERROR(INDEX('Settings'!$J$10:$J$39,MATCH($H1270,'Settings'!$I$10:$I$39,0)),""))</f>
        <v/>
      </c>
      <c r="J1270" s="6" t="n"/>
      <c r="K1270" s="8" t="n"/>
      <c r="L1270" s="8" t="n"/>
      <c r="M1270" s="14">
        <f>IF($A1270="","",$J1270*$K1270)</f>
        <v/>
      </c>
      <c r="N1270" s="14">
        <f>IF($A1270="","",$M1270-$L1270)</f>
        <v/>
      </c>
      <c r="O1270" s="4" t="n"/>
      <c r="P1270" s="15">
        <f>IF($A1270="","",DATE(YEAR($A1270),MONTH($A1270),1))</f>
        <v/>
      </c>
      <c r="Q1270" s="16">
        <f>IF($H1270="","",$J1270*IFERROR(INDEX('Settings'!$L$10:$L$39,MATCH($H1270,'Settings'!$I$10:$I$39,0)),0))</f>
        <v/>
      </c>
      <c r="R1270" s="17">
        <f>IF($A1270="","",$A1270-WEEKDAY($A1270,2)+1)</f>
        <v/>
      </c>
    </row>
    <row r="1271">
      <c r="A1271" s="5" t="n"/>
      <c r="B1271" s="4" t="n"/>
      <c r="C1271" s="4" t="n"/>
      <c r="D1271" s="4" t="n"/>
      <c r="E1271" s="4" t="n"/>
      <c r="F1271" s="4" t="n"/>
      <c r="G1271" s="4" t="n"/>
      <c r="H1271" s="4" t="n"/>
      <c r="I1271" s="9">
        <f>IF($H1271="","",IFERROR(INDEX('Settings'!$J$10:$J$39,MATCH($H1271,'Settings'!$I$10:$I$39,0)),""))</f>
        <v/>
      </c>
      <c r="J1271" s="6" t="n"/>
      <c r="K1271" s="8" t="n"/>
      <c r="L1271" s="8" t="n"/>
      <c r="M1271" s="14">
        <f>IF($A1271="","",$J1271*$K1271)</f>
        <v/>
      </c>
      <c r="N1271" s="14">
        <f>IF($A1271="","",$M1271-$L1271)</f>
        <v/>
      </c>
      <c r="O1271" s="4" t="n"/>
      <c r="P1271" s="15">
        <f>IF($A1271="","",DATE(YEAR($A1271),MONTH($A1271),1))</f>
        <v/>
      </c>
      <c r="Q1271" s="16">
        <f>IF($H1271="","",$J1271*IFERROR(INDEX('Settings'!$L$10:$L$39,MATCH($H1271,'Settings'!$I$10:$I$39,0)),0))</f>
        <v/>
      </c>
      <c r="R1271" s="17">
        <f>IF($A1271="","",$A1271-WEEKDAY($A1271,2)+1)</f>
        <v/>
      </c>
    </row>
    <row r="1272">
      <c r="A1272" s="5" t="n"/>
      <c r="B1272" s="4" t="n"/>
      <c r="C1272" s="4" t="n"/>
      <c r="D1272" s="4" t="n"/>
      <c r="E1272" s="4" t="n"/>
      <c r="F1272" s="4" t="n"/>
      <c r="G1272" s="4" t="n"/>
      <c r="H1272" s="4" t="n"/>
      <c r="I1272" s="9">
        <f>IF($H1272="","",IFERROR(INDEX('Settings'!$J$10:$J$39,MATCH($H1272,'Settings'!$I$10:$I$39,0)),""))</f>
        <v/>
      </c>
      <c r="J1272" s="6" t="n"/>
      <c r="K1272" s="8" t="n"/>
      <c r="L1272" s="8" t="n"/>
      <c r="M1272" s="14">
        <f>IF($A1272="","",$J1272*$K1272)</f>
        <v/>
      </c>
      <c r="N1272" s="14">
        <f>IF($A1272="","",$M1272-$L1272)</f>
        <v/>
      </c>
      <c r="O1272" s="4" t="n"/>
      <c r="P1272" s="15">
        <f>IF($A1272="","",DATE(YEAR($A1272),MONTH($A1272),1))</f>
        <v/>
      </c>
      <c r="Q1272" s="16">
        <f>IF($H1272="","",$J1272*IFERROR(INDEX('Settings'!$L$10:$L$39,MATCH($H1272,'Settings'!$I$10:$I$39,0)),0))</f>
        <v/>
      </c>
      <c r="R1272" s="17">
        <f>IF($A1272="","",$A1272-WEEKDAY($A1272,2)+1)</f>
        <v/>
      </c>
    </row>
    <row r="1273">
      <c r="A1273" s="5" t="n"/>
      <c r="B1273" s="4" t="n"/>
      <c r="C1273" s="4" t="n"/>
      <c r="D1273" s="4" t="n"/>
      <c r="E1273" s="4" t="n"/>
      <c r="F1273" s="4" t="n"/>
      <c r="G1273" s="4" t="n"/>
      <c r="H1273" s="4" t="n"/>
      <c r="I1273" s="9">
        <f>IF($H1273="","",IFERROR(INDEX('Settings'!$J$10:$J$39,MATCH($H1273,'Settings'!$I$10:$I$39,0)),""))</f>
        <v/>
      </c>
      <c r="J1273" s="6" t="n"/>
      <c r="K1273" s="8" t="n"/>
      <c r="L1273" s="8" t="n"/>
      <c r="M1273" s="14">
        <f>IF($A1273="","",$J1273*$K1273)</f>
        <v/>
      </c>
      <c r="N1273" s="14">
        <f>IF($A1273="","",$M1273-$L1273)</f>
        <v/>
      </c>
      <c r="O1273" s="4" t="n"/>
      <c r="P1273" s="15">
        <f>IF($A1273="","",DATE(YEAR($A1273),MONTH($A1273),1))</f>
        <v/>
      </c>
      <c r="Q1273" s="16">
        <f>IF($H1273="","",$J1273*IFERROR(INDEX('Settings'!$L$10:$L$39,MATCH($H1273,'Settings'!$I$10:$I$39,0)),0))</f>
        <v/>
      </c>
      <c r="R1273" s="17">
        <f>IF($A1273="","",$A1273-WEEKDAY($A1273,2)+1)</f>
        <v/>
      </c>
    </row>
    <row r="1274">
      <c r="A1274" s="5" t="n"/>
      <c r="B1274" s="4" t="n"/>
      <c r="C1274" s="4" t="n"/>
      <c r="D1274" s="4" t="n"/>
      <c r="E1274" s="4" t="n"/>
      <c r="F1274" s="4" t="n"/>
      <c r="G1274" s="4" t="n"/>
      <c r="H1274" s="4" t="n"/>
      <c r="I1274" s="9">
        <f>IF($H1274="","",IFERROR(INDEX('Settings'!$J$10:$J$39,MATCH($H1274,'Settings'!$I$10:$I$39,0)),""))</f>
        <v/>
      </c>
      <c r="J1274" s="6" t="n"/>
      <c r="K1274" s="8" t="n"/>
      <c r="L1274" s="8" t="n"/>
      <c r="M1274" s="14">
        <f>IF($A1274="","",$J1274*$K1274)</f>
        <v/>
      </c>
      <c r="N1274" s="14">
        <f>IF($A1274="","",$M1274-$L1274)</f>
        <v/>
      </c>
      <c r="O1274" s="4" t="n"/>
      <c r="P1274" s="15">
        <f>IF($A1274="","",DATE(YEAR($A1274),MONTH($A1274),1))</f>
        <v/>
      </c>
      <c r="Q1274" s="16">
        <f>IF($H1274="","",$J1274*IFERROR(INDEX('Settings'!$L$10:$L$39,MATCH($H1274,'Settings'!$I$10:$I$39,0)),0))</f>
        <v/>
      </c>
      <c r="R1274" s="17">
        <f>IF($A1274="","",$A1274-WEEKDAY($A1274,2)+1)</f>
        <v/>
      </c>
    </row>
    <row r="1275">
      <c r="A1275" s="5" t="n"/>
      <c r="B1275" s="4" t="n"/>
      <c r="C1275" s="4" t="n"/>
      <c r="D1275" s="4" t="n"/>
      <c r="E1275" s="4" t="n"/>
      <c r="F1275" s="4" t="n"/>
      <c r="G1275" s="4" t="n"/>
      <c r="H1275" s="4" t="n"/>
      <c r="I1275" s="9">
        <f>IF($H1275="","",IFERROR(INDEX('Settings'!$J$10:$J$39,MATCH($H1275,'Settings'!$I$10:$I$39,0)),""))</f>
        <v/>
      </c>
      <c r="J1275" s="6" t="n"/>
      <c r="K1275" s="8" t="n"/>
      <c r="L1275" s="8" t="n"/>
      <c r="M1275" s="14">
        <f>IF($A1275="","",$J1275*$K1275)</f>
        <v/>
      </c>
      <c r="N1275" s="14">
        <f>IF($A1275="","",$M1275-$L1275)</f>
        <v/>
      </c>
      <c r="O1275" s="4" t="n"/>
      <c r="P1275" s="15">
        <f>IF($A1275="","",DATE(YEAR($A1275),MONTH($A1275),1))</f>
        <v/>
      </c>
      <c r="Q1275" s="16">
        <f>IF($H1275="","",$J1275*IFERROR(INDEX('Settings'!$L$10:$L$39,MATCH($H1275,'Settings'!$I$10:$I$39,0)),0))</f>
        <v/>
      </c>
      <c r="R1275" s="17">
        <f>IF($A1275="","",$A1275-WEEKDAY($A1275,2)+1)</f>
        <v/>
      </c>
    </row>
    <row r="1276">
      <c r="A1276" s="5" t="n"/>
      <c r="B1276" s="4" t="n"/>
      <c r="C1276" s="4" t="n"/>
      <c r="D1276" s="4" t="n"/>
      <c r="E1276" s="4" t="n"/>
      <c r="F1276" s="4" t="n"/>
      <c r="G1276" s="4" t="n"/>
      <c r="H1276" s="4" t="n"/>
      <c r="I1276" s="9">
        <f>IF($H1276="","",IFERROR(INDEX('Settings'!$J$10:$J$39,MATCH($H1276,'Settings'!$I$10:$I$39,0)),""))</f>
        <v/>
      </c>
      <c r="J1276" s="6" t="n"/>
      <c r="K1276" s="8" t="n"/>
      <c r="L1276" s="8" t="n"/>
      <c r="M1276" s="14">
        <f>IF($A1276="","",$J1276*$K1276)</f>
        <v/>
      </c>
      <c r="N1276" s="14">
        <f>IF($A1276="","",$M1276-$L1276)</f>
        <v/>
      </c>
      <c r="O1276" s="4" t="n"/>
      <c r="P1276" s="15">
        <f>IF($A1276="","",DATE(YEAR($A1276),MONTH($A1276),1))</f>
        <v/>
      </c>
      <c r="Q1276" s="16">
        <f>IF($H1276="","",$J1276*IFERROR(INDEX('Settings'!$L$10:$L$39,MATCH($H1276,'Settings'!$I$10:$I$39,0)),0))</f>
        <v/>
      </c>
      <c r="R1276" s="17">
        <f>IF($A1276="","",$A1276-WEEKDAY($A1276,2)+1)</f>
        <v/>
      </c>
    </row>
    <row r="1277">
      <c r="A1277" s="5" t="n"/>
      <c r="B1277" s="4" t="n"/>
      <c r="C1277" s="4" t="n"/>
      <c r="D1277" s="4" t="n"/>
      <c r="E1277" s="4" t="n"/>
      <c r="F1277" s="4" t="n"/>
      <c r="G1277" s="4" t="n"/>
      <c r="H1277" s="4" t="n"/>
      <c r="I1277" s="9">
        <f>IF($H1277="","",IFERROR(INDEX('Settings'!$J$10:$J$39,MATCH($H1277,'Settings'!$I$10:$I$39,0)),""))</f>
        <v/>
      </c>
      <c r="J1277" s="6" t="n"/>
      <c r="K1277" s="8" t="n"/>
      <c r="L1277" s="8" t="n"/>
      <c r="M1277" s="14">
        <f>IF($A1277="","",$J1277*$K1277)</f>
        <v/>
      </c>
      <c r="N1277" s="14">
        <f>IF($A1277="","",$M1277-$L1277)</f>
        <v/>
      </c>
      <c r="O1277" s="4" t="n"/>
      <c r="P1277" s="15">
        <f>IF($A1277="","",DATE(YEAR($A1277),MONTH($A1277),1))</f>
        <v/>
      </c>
      <c r="Q1277" s="16">
        <f>IF($H1277="","",$J1277*IFERROR(INDEX('Settings'!$L$10:$L$39,MATCH($H1277,'Settings'!$I$10:$I$39,0)),0))</f>
        <v/>
      </c>
      <c r="R1277" s="17">
        <f>IF($A1277="","",$A1277-WEEKDAY($A1277,2)+1)</f>
        <v/>
      </c>
    </row>
    <row r="1278">
      <c r="A1278" s="5" t="n"/>
      <c r="B1278" s="4" t="n"/>
      <c r="C1278" s="4" t="n"/>
      <c r="D1278" s="4" t="n"/>
      <c r="E1278" s="4" t="n"/>
      <c r="F1278" s="4" t="n"/>
      <c r="G1278" s="4" t="n"/>
      <c r="H1278" s="4" t="n"/>
      <c r="I1278" s="9">
        <f>IF($H1278="","",IFERROR(INDEX('Settings'!$J$10:$J$39,MATCH($H1278,'Settings'!$I$10:$I$39,0)),""))</f>
        <v/>
      </c>
      <c r="J1278" s="6" t="n"/>
      <c r="K1278" s="8" t="n"/>
      <c r="L1278" s="8" t="n"/>
      <c r="M1278" s="14">
        <f>IF($A1278="","",$J1278*$K1278)</f>
        <v/>
      </c>
      <c r="N1278" s="14">
        <f>IF($A1278="","",$M1278-$L1278)</f>
        <v/>
      </c>
      <c r="O1278" s="4" t="n"/>
      <c r="P1278" s="15">
        <f>IF($A1278="","",DATE(YEAR($A1278),MONTH($A1278),1))</f>
        <v/>
      </c>
      <c r="Q1278" s="16">
        <f>IF($H1278="","",$J1278*IFERROR(INDEX('Settings'!$L$10:$L$39,MATCH($H1278,'Settings'!$I$10:$I$39,0)),0))</f>
        <v/>
      </c>
      <c r="R1278" s="17">
        <f>IF($A1278="","",$A1278-WEEKDAY($A1278,2)+1)</f>
        <v/>
      </c>
    </row>
    <row r="1279">
      <c r="A1279" s="5" t="n"/>
      <c r="B1279" s="4" t="n"/>
      <c r="C1279" s="4" t="n"/>
      <c r="D1279" s="4" t="n"/>
      <c r="E1279" s="4" t="n"/>
      <c r="F1279" s="4" t="n"/>
      <c r="G1279" s="4" t="n"/>
      <c r="H1279" s="4" t="n"/>
      <c r="I1279" s="9">
        <f>IF($H1279="","",IFERROR(INDEX('Settings'!$J$10:$J$39,MATCH($H1279,'Settings'!$I$10:$I$39,0)),""))</f>
        <v/>
      </c>
      <c r="J1279" s="6" t="n"/>
      <c r="K1279" s="8" t="n"/>
      <c r="L1279" s="8" t="n"/>
      <c r="M1279" s="14">
        <f>IF($A1279="","",$J1279*$K1279)</f>
        <v/>
      </c>
      <c r="N1279" s="14">
        <f>IF($A1279="","",$M1279-$L1279)</f>
        <v/>
      </c>
      <c r="O1279" s="4" t="n"/>
      <c r="P1279" s="15">
        <f>IF($A1279="","",DATE(YEAR($A1279),MONTH($A1279),1))</f>
        <v/>
      </c>
      <c r="Q1279" s="16">
        <f>IF($H1279="","",$J1279*IFERROR(INDEX('Settings'!$L$10:$L$39,MATCH($H1279,'Settings'!$I$10:$I$39,0)),0))</f>
        <v/>
      </c>
      <c r="R1279" s="17">
        <f>IF($A1279="","",$A1279-WEEKDAY($A1279,2)+1)</f>
        <v/>
      </c>
    </row>
    <row r="1280">
      <c r="A1280" s="5" t="n"/>
      <c r="B1280" s="4" t="n"/>
      <c r="C1280" s="4" t="n"/>
      <c r="D1280" s="4" t="n"/>
      <c r="E1280" s="4" t="n"/>
      <c r="F1280" s="4" t="n"/>
      <c r="G1280" s="4" t="n"/>
      <c r="H1280" s="4" t="n"/>
      <c r="I1280" s="9">
        <f>IF($H1280="","",IFERROR(INDEX('Settings'!$J$10:$J$39,MATCH($H1280,'Settings'!$I$10:$I$39,0)),""))</f>
        <v/>
      </c>
      <c r="J1280" s="6" t="n"/>
      <c r="K1280" s="8" t="n"/>
      <c r="L1280" s="8" t="n"/>
      <c r="M1280" s="14">
        <f>IF($A1280="","",$J1280*$K1280)</f>
        <v/>
      </c>
      <c r="N1280" s="14">
        <f>IF($A1280="","",$M1280-$L1280)</f>
        <v/>
      </c>
      <c r="O1280" s="4" t="n"/>
      <c r="P1280" s="15">
        <f>IF($A1280="","",DATE(YEAR($A1280),MONTH($A1280),1))</f>
        <v/>
      </c>
      <c r="Q1280" s="16">
        <f>IF($H1280="","",$J1280*IFERROR(INDEX('Settings'!$L$10:$L$39,MATCH($H1280,'Settings'!$I$10:$I$39,0)),0))</f>
        <v/>
      </c>
      <c r="R1280" s="17">
        <f>IF($A1280="","",$A1280-WEEKDAY($A1280,2)+1)</f>
        <v/>
      </c>
    </row>
    <row r="1281">
      <c r="A1281" s="5" t="n"/>
      <c r="B1281" s="4" t="n"/>
      <c r="C1281" s="4" t="n"/>
      <c r="D1281" s="4" t="n"/>
      <c r="E1281" s="4" t="n"/>
      <c r="F1281" s="4" t="n"/>
      <c r="G1281" s="4" t="n"/>
      <c r="H1281" s="4" t="n"/>
      <c r="I1281" s="9">
        <f>IF($H1281="","",IFERROR(INDEX('Settings'!$J$10:$J$39,MATCH($H1281,'Settings'!$I$10:$I$39,0)),""))</f>
        <v/>
      </c>
      <c r="J1281" s="6" t="n"/>
      <c r="K1281" s="8" t="n"/>
      <c r="L1281" s="8" t="n"/>
      <c r="M1281" s="14">
        <f>IF($A1281="","",$J1281*$K1281)</f>
        <v/>
      </c>
      <c r="N1281" s="14">
        <f>IF($A1281="","",$M1281-$L1281)</f>
        <v/>
      </c>
      <c r="O1281" s="4" t="n"/>
      <c r="P1281" s="15">
        <f>IF($A1281="","",DATE(YEAR($A1281),MONTH($A1281),1))</f>
        <v/>
      </c>
      <c r="Q1281" s="16">
        <f>IF($H1281="","",$J1281*IFERROR(INDEX('Settings'!$L$10:$L$39,MATCH($H1281,'Settings'!$I$10:$I$39,0)),0))</f>
        <v/>
      </c>
      <c r="R1281" s="17">
        <f>IF($A1281="","",$A1281-WEEKDAY($A1281,2)+1)</f>
        <v/>
      </c>
    </row>
    <row r="1282">
      <c r="A1282" s="5" t="n"/>
      <c r="B1282" s="4" t="n"/>
      <c r="C1282" s="4" t="n"/>
      <c r="D1282" s="4" t="n"/>
      <c r="E1282" s="4" t="n"/>
      <c r="F1282" s="4" t="n"/>
      <c r="G1282" s="4" t="n"/>
      <c r="H1282" s="4" t="n"/>
      <c r="I1282" s="9">
        <f>IF($H1282="","",IFERROR(INDEX('Settings'!$J$10:$J$39,MATCH($H1282,'Settings'!$I$10:$I$39,0)),""))</f>
        <v/>
      </c>
      <c r="J1282" s="6" t="n"/>
      <c r="K1282" s="8" t="n"/>
      <c r="L1282" s="8" t="n"/>
      <c r="M1282" s="14">
        <f>IF($A1282="","",$J1282*$K1282)</f>
        <v/>
      </c>
      <c r="N1282" s="14">
        <f>IF($A1282="","",$M1282-$L1282)</f>
        <v/>
      </c>
      <c r="O1282" s="4" t="n"/>
      <c r="P1282" s="15">
        <f>IF($A1282="","",DATE(YEAR($A1282),MONTH($A1282),1))</f>
        <v/>
      </c>
      <c r="Q1282" s="16">
        <f>IF($H1282="","",$J1282*IFERROR(INDEX('Settings'!$L$10:$L$39,MATCH($H1282,'Settings'!$I$10:$I$39,0)),0))</f>
        <v/>
      </c>
      <c r="R1282" s="17">
        <f>IF($A1282="","",$A1282-WEEKDAY($A1282,2)+1)</f>
        <v/>
      </c>
    </row>
    <row r="1283">
      <c r="A1283" s="5" t="n"/>
      <c r="B1283" s="4" t="n"/>
      <c r="C1283" s="4" t="n"/>
      <c r="D1283" s="4" t="n"/>
      <c r="E1283" s="4" t="n"/>
      <c r="F1283" s="4" t="n"/>
      <c r="G1283" s="4" t="n"/>
      <c r="H1283" s="4" t="n"/>
      <c r="I1283" s="9">
        <f>IF($H1283="","",IFERROR(INDEX('Settings'!$J$10:$J$39,MATCH($H1283,'Settings'!$I$10:$I$39,0)),""))</f>
        <v/>
      </c>
      <c r="J1283" s="6" t="n"/>
      <c r="K1283" s="8" t="n"/>
      <c r="L1283" s="8" t="n"/>
      <c r="M1283" s="14">
        <f>IF($A1283="","",$J1283*$K1283)</f>
        <v/>
      </c>
      <c r="N1283" s="14">
        <f>IF($A1283="","",$M1283-$L1283)</f>
        <v/>
      </c>
      <c r="O1283" s="4" t="n"/>
      <c r="P1283" s="15">
        <f>IF($A1283="","",DATE(YEAR($A1283),MONTH($A1283),1))</f>
        <v/>
      </c>
      <c r="Q1283" s="16">
        <f>IF($H1283="","",$J1283*IFERROR(INDEX('Settings'!$L$10:$L$39,MATCH($H1283,'Settings'!$I$10:$I$39,0)),0))</f>
        <v/>
      </c>
      <c r="R1283" s="17">
        <f>IF($A1283="","",$A1283-WEEKDAY($A1283,2)+1)</f>
        <v/>
      </c>
    </row>
    <row r="1284">
      <c r="A1284" s="5" t="n"/>
      <c r="B1284" s="4" t="n"/>
      <c r="C1284" s="4" t="n"/>
      <c r="D1284" s="4" t="n"/>
      <c r="E1284" s="4" t="n"/>
      <c r="F1284" s="4" t="n"/>
      <c r="G1284" s="4" t="n"/>
      <c r="H1284" s="4" t="n"/>
      <c r="I1284" s="9">
        <f>IF($H1284="","",IFERROR(INDEX('Settings'!$J$10:$J$39,MATCH($H1284,'Settings'!$I$10:$I$39,0)),""))</f>
        <v/>
      </c>
      <c r="J1284" s="6" t="n"/>
      <c r="K1284" s="8" t="n"/>
      <c r="L1284" s="8" t="n"/>
      <c r="M1284" s="14">
        <f>IF($A1284="","",$J1284*$K1284)</f>
        <v/>
      </c>
      <c r="N1284" s="14">
        <f>IF($A1284="","",$M1284-$L1284)</f>
        <v/>
      </c>
      <c r="O1284" s="4" t="n"/>
      <c r="P1284" s="15">
        <f>IF($A1284="","",DATE(YEAR($A1284),MONTH($A1284),1))</f>
        <v/>
      </c>
      <c r="Q1284" s="16">
        <f>IF($H1284="","",$J1284*IFERROR(INDEX('Settings'!$L$10:$L$39,MATCH($H1284,'Settings'!$I$10:$I$39,0)),0))</f>
        <v/>
      </c>
      <c r="R1284" s="17">
        <f>IF($A1284="","",$A1284-WEEKDAY($A1284,2)+1)</f>
        <v/>
      </c>
    </row>
    <row r="1285">
      <c r="A1285" s="5" t="n"/>
      <c r="B1285" s="4" t="n"/>
      <c r="C1285" s="4" t="n"/>
      <c r="D1285" s="4" t="n"/>
      <c r="E1285" s="4" t="n"/>
      <c r="F1285" s="4" t="n"/>
      <c r="G1285" s="4" t="n"/>
      <c r="H1285" s="4" t="n"/>
      <c r="I1285" s="9">
        <f>IF($H1285="","",IFERROR(INDEX('Settings'!$J$10:$J$39,MATCH($H1285,'Settings'!$I$10:$I$39,0)),""))</f>
        <v/>
      </c>
      <c r="J1285" s="6" t="n"/>
      <c r="K1285" s="8" t="n"/>
      <c r="L1285" s="8" t="n"/>
      <c r="M1285" s="14">
        <f>IF($A1285="","",$J1285*$K1285)</f>
        <v/>
      </c>
      <c r="N1285" s="14">
        <f>IF($A1285="","",$M1285-$L1285)</f>
        <v/>
      </c>
      <c r="O1285" s="4" t="n"/>
      <c r="P1285" s="15">
        <f>IF($A1285="","",DATE(YEAR($A1285),MONTH($A1285),1))</f>
        <v/>
      </c>
      <c r="Q1285" s="16">
        <f>IF($H1285="","",$J1285*IFERROR(INDEX('Settings'!$L$10:$L$39,MATCH($H1285,'Settings'!$I$10:$I$39,0)),0))</f>
        <v/>
      </c>
      <c r="R1285" s="17">
        <f>IF($A1285="","",$A1285-WEEKDAY($A1285,2)+1)</f>
        <v/>
      </c>
    </row>
    <row r="1286">
      <c r="A1286" s="5" t="n"/>
      <c r="B1286" s="4" t="n"/>
      <c r="C1286" s="4" t="n"/>
      <c r="D1286" s="4" t="n"/>
      <c r="E1286" s="4" t="n"/>
      <c r="F1286" s="4" t="n"/>
      <c r="G1286" s="4" t="n"/>
      <c r="H1286" s="4" t="n"/>
      <c r="I1286" s="9">
        <f>IF($H1286="","",IFERROR(INDEX('Settings'!$J$10:$J$39,MATCH($H1286,'Settings'!$I$10:$I$39,0)),""))</f>
        <v/>
      </c>
      <c r="J1286" s="6" t="n"/>
      <c r="K1286" s="8" t="n"/>
      <c r="L1286" s="8" t="n"/>
      <c r="M1286" s="14">
        <f>IF($A1286="","",$J1286*$K1286)</f>
        <v/>
      </c>
      <c r="N1286" s="14">
        <f>IF($A1286="","",$M1286-$L1286)</f>
        <v/>
      </c>
      <c r="O1286" s="4" t="n"/>
      <c r="P1286" s="15">
        <f>IF($A1286="","",DATE(YEAR($A1286),MONTH($A1286),1))</f>
        <v/>
      </c>
      <c r="Q1286" s="16">
        <f>IF($H1286="","",$J1286*IFERROR(INDEX('Settings'!$L$10:$L$39,MATCH($H1286,'Settings'!$I$10:$I$39,0)),0))</f>
        <v/>
      </c>
      <c r="R1286" s="17">
        <f>IF($A1286="","",$A1286-WEEKDAY($A1286,2)+1)</f>
        <v/>
      </c>
    </row>
    <row r="1287">
      <c r="A1287" s="5" t="n"/>
      <c r="B1287" s="4" t="n"/>
      <c r="C1287" s="4" t="n"/>
      <c r="D1287" s="4" t="n"/>
      <c r="E1287" s="4" t="n"/>
      <c r="F1287" s="4" t="n"/>
      <c r="G1287" s="4" t="n"/>
      <c r="H1287" s="4" t="n"/>
      <c r="I1287" s="9">
        <f>IF($H1287="","",IFERROR(INDEX('Settings'!$J$10:$J$39,MATCH($H1287,'Settings'!$I$10:$I$39,0)),""))</f>
        <v/>
      </c>
      <c r="J1287" s="6" t="n"/>
      <c r="K1287" s="8" t="n"/>
      <c r="L1287" s="8" t="n"/>
      <c r="M1287" s="14">
        <f>IF($A1287="","",$J1287*$K1287)</f>
        <v/>
      </c>
      <c r="N1287" s="14">
        <f>IF($A1287="","",$M1287-$L1287)</f>
        <v/>
      </c>
      <c r="O1287" s="4" t="n"/>
      <c r="P1287" s="15">
        <f>IF($A1287="","",DATE(YEAR($A1287),MONTH($A1287),1))</f>
        <v/>
      </c>
      <c r="Q1287" s="16">
        <f>IF($H1287="","",$J1287*IFERROR(INDEX('Settings'!$L$10:$L$39,MATCH($H1287,'Settings'!$I$10:$I$39,0)),0))</f>
        <v/>
      </c>
      <c r="R1287" s="17">
        <f>IF($A1287="","",$A1287-WEEKDAY($A1287,2)+1)</f>
        <v/>
      </c>
    </row>
    <row r="1288">
      <c r="A1288" s="5" t="n"/>
      <c r="B1288" s="4" t="n"/>
      <c r="C1288" s="4" t="n"/>
      <c r="D1288" s="4" t="n"/>
      <c r="E1288" s="4" t="n"/>
      <c r="F1288" s="4" t="n"/>
      <c r="G1288" s="4" t="n"/>
      <c r="H1288" s="4" t="n"/>
      <c r="I1288" s="9">
        <f>IF($H1288="","",IFERROR(INDEX('Settings'!$J$10:$J$39,MATCH($H1288,'Settings'!$I$10:$I$39,0)),""))</f>
        <v/>
      </c>
      <c r="J1288" s="6" t="n"/>
      <c r="K1288" s="8" t="n"/>
      <c r="L1288" s="8" t="n"/>
      <c r="M1288" s="14">
        <f>IF($A1288="","",$J1288*$K1288)</f>
        <v/>
      </c>
      <c r="N1288" s="14">
        <f>IF($A1288="","",$M1288-$L1288)</f>
        <v/>
      </c>
      <c r="O1288" s="4" t="n"/>
      <c r="P1288" s="15">
        <f>IF($A1288="","",DATE(YEAR($A1288),MONTH($A1288),1))</f>
        <v/>
      </c>
      <c r="Q1288" s="16">
        <f>IF($H1288="","",$J1288*IFERROR(INDEX('Settings'!$L$10:$L$39,MATCH($H1288,'Settings'!$I$10:$I$39,0)),0))</f>
        <v/>
      </c>
      <c r="R1288" s="17">
        <f>IF($A1288="","",$A1288-WEEKDAY($A1288,2)+1)</f>
        <v/>
      </c>
    </row>
    <row r="1289">
      <c r="A1289" s="5" t="n"/>
      <c r="B1289" s="4" t="n"/>
      <c r="C1289" s="4" t="n"/>
      <c r="D1289" s="4" t="n"/>
      <c r="E1289" s="4" t="n"/>
      <c r="F1289" s="4" t="n"/>
      <c r="G1289" s="4" t="n"/>
      <c r="H1289" s="4" t="n"/>
      <c r="I1289" s="9">
        <f>IF($H1289="","",IFERROR(INDEX('Settings'!$J$10:$J$39,MATCH($H1289,'Settings'!$I$10:$I$39,0)),""))</f>
        <v/>
      </c>
      <c r="J1289" s="6" t="n"/>
      <c r="K1289" s="8" t="n"/>
      <c r="L1289" s="8" t="n"/>
      <c r="M1289" s="14">
        <f>IF($A1289="","",$J1289*$K1289)</f>
        <v/>
      </c>
      <c r="N1289" s="14">
        <f>IF($A1289="","",$M1289-$L1289)</f>
        <v/>
      </c>
      <c r="O1289" s="4" t="n"/>
      <c r="P1289" s="15">
        <f>IF($A1289="","",DATE(YEAR($A1289),MONTH($A1289),1))</f>
        <v/>
      </c>
      <c r="Q1289" s="16">
        <f>IF($H1289="","",$J1289*IFERROR(INDEX('Settings'!$L$10:$L$39,MATCH($H1289,'Settings'!$I$10:$I$39,0)),0))</f>
        <v/>
      </c>
      <c r="R1289" s="17">
        <f>IF($A1289="","",$A1289-WEEKDAY($A1289,2)+1)</f>
        <v/>
      </c>
    </row>
    <row r="1290">
      <c r="A1290" s="5" t="n"/>
      <c r="B1290" s="4" t="n"/>
      <c r="C1290" s="4" t="n"/>
      <c r="D1290" s="4" t="n"/>
      <c r="E1290" s="4" t="n"/>
      <c r="F1290" s="4" t="n"/>
      <c r="G1290" s="4" t="n"/>
      <c r="H1290" s="4" t="n"/>
      <c r="I1290" s="9">
        <f>IF($H1290="","",IFERROR(INDEX('Settings'!$J$10:$J$39,MATCH($H1290,'Settings'!$I$10:$I$39,0)),""))</f>
        <v/>
      </c>
      <c r="J1290" s="6" t="n"/>
      <c r="K1290" s="8" t="n"/>
      <c r="L1290" s="8" t="n"/>
      <c r="M1290" s="14">
        <f>IF($A1290="","",$J1290*$K1290)</f>
        <v/>
      </c>
      <c r="N1290" s="14">
        <f>IF($A1290="","",$M1290-$L1290)</f>
        <v/>
      </c>
      <c r="O1290" s="4" t="n"/>
      <c r="P1290" s="15">
        <f>IF($A1290="","",DATE(YEAR($A1290),MONTH($A1290),1))</f>
        <v/>
      </c>
      <c r="Q1290" s="16">
        <f>IF($H1290="","",$J1290*IFERROR(INDEX('Settings'!$L$10:$L$39,MATCH($H1290,'Settings'!$I$10:$I$39,0)),0))</f>
        <v/>
      </c>
      <c r="R1290" s="17">
        <f>IF($A1290="","",$A1290-WEEKDAY($A1290,2)+1)</f>
        <v/>
      </c>
    </row>
    <row r="1291">
      <c r="A1291" s="5" t="n"/>
      <c r="B1291" s="4" t="n"/>
      <c r="C1291" s="4" t="n"/>
      <c r="D1291" s="4" t="n"/>
      <c r="E1291" s="4" t="n"/>
      <c r="F1291" s="4" t="n"/>
      <c r="G1291" s="4" t="n"/>
      <c r="H1291" s="4" t="n"/>
      <c r="I1291" s="9">
        <f>IF($H1291="","",IFERROR(INDEX('Settings'!$J$10:$J$39,MATCH($H1291,'Settings'!$I$10:$I$39,0)),""))</f>
        <v/>
      </c>
      <c r="J1291" s="6" t="n"/>
      <c r="K1291" s="8" t="n"/>
      <c r="L1291" s="8" t="n"/>
      <c r="M1291" s="14">
        <f>IF($A1291="","",$J1291*$K1291)</f>
        <v/>
      </c>
      <c r="N1291" s="14">
        <f>IF($A1291="","",$M1291-$L1291)</f>
        <v/>
      </c>
      <c r="O1291" s="4" t="n"/>
      <c r="P1291" s="15">
        <f>IF($A1291="","",DATE(YEAR($A1291),MONTH($A1291),1))</f>
        <v/>
      </c>
      <c r="Q1291" s="16">
        <f>IF($H1291="","",$J1291*IFERROR(INDEX('Settings'!$L$10:$L$39,MATCH($H1291,'Settings'!$I$10:$I$39,0)),0))</f>
        <v/>
      </c>
      <c r="R1291" s="17">
        <f>IF($A1291="","",$A1291-WEEKDAY($A1291,2)+1)</f>
        <v/>
      </c>
    </row>
    <row r="1292">
      <c r="A1292" s="5" t="n"/>
      <c r="B1292" s="4" t="n"/>
      <c r="C1292" s="4" t="n"/>
      <c r="D1292" s="4" t="n"/>
      <c r="E1292" s="4" t="n"/>
      <c r="F1292" s="4" t="n"/>
      <c r="G1292" s="4" t="n"/>
      <c r="H1292" s="4" t="n"/>
      <c r="I1292" s="9">
        <f>IF($H1292="","",IFERROR(INDEX('Settings'!$J$10:$J$39,MATCH($H1292,'Settings'!$I$10:$I$39,0)),""))</f>
        <v/>
      </c>
      <c r="J1292" s="6" t="n"/>
      <c r="K1292" s="8" t="n"/>
      <c r="L1292" s="8" t="n"/>
      <c r="M1292" s="14">
        <f>IF($A1292="","",$J1292*$K1292)</f>
        <v/>
      </c>
      <c r="N1292" s="14">
        <f>IF($A1292="","",$M1292-$L1292)</f>
        <v/>
      </c>
      <c r="O1292" s="4" t="n"/>
      <c r="P1292" s="15">
        <f>IF($A1292="","",DATE(YEAR($A1292),MONTH($A1292),1))</f>
        <v/>
      </c>
      <c r="Q1292" s="16">
        <f>IF($H1292="","",$J1292*IFERROR(INDEX('Settings'!$L$10:$L$39,MATCH($H1292,'Settings'!$I$10:$I$39,0)),0))</f>
        <v/>
      </c>
      <c r="R1292" s="17">
        <f>IF($A1292="","",$A1292-WEEKDAY($A1292,2)+1)</f>
        <v/>
      </c>
    </row>
    <row r="1293">
      <c r="A1293" s="5" t="n"/>
      <c r="B1293" s="4" t="n"/>
      <c r="C1293" s="4" t="n"/>
      <c r="D1293" s="4" t="n"/>
      <c r="E1293" s="4" t="n"/>
      <c r="F1293" s="4" t="n"/>
      <c r="G1293" s="4" t="n"/>
      <c r="H1293" s="4" t="n"/>
      <c r="I1293" s="9">
        <f>IF($H1293="","",IFERROR(INDEX('Settings'!$J$10:$J$39,MATCH($H1293,'Settings'!$I$10:$I$39,0)),""))</f>
        <v/>
      </c>
      <c r="J1293" s="6" t="n"/>
      <c r="K1293" s="8" t="n"/>
      <c r="L1293" s="8" t="n"/>
      <c r="M1293" s="14">
        <f>IF($A1293="","",$J1293*$K1293)</f>
        <v/>
      </c>
      <c r="N1293" s="14">
        <f>IF($A1293="","",$M1293-$L1293)</f>
        <v/>
      </c>
      <c r="O1293" s="4" t="n"/>
      <c r="P1293" s="15">
        <f>IF($A1293="","",DATE(YEAR($A1293),MONTH($A1293),1))</f>
        <v/>
      </c>
      <c r="Q1293" s="16">
        <f>IF($H1293="","",$J1293*IFERROR(INDEX('Settings'!$L$10:$L$39,MATCH($H1293,'Settings'!$I$10:$I$39,0)),0))</f>
        <v/>
      </c>
      <c r="R1293" s="17">
        <f>IF($A1293="","",$A1293-WEEKDAY($A1293,2)+1)</f>
        <v/>
      </c>
    </row>
    <row r="1294">
      <c r="A1294" s="5" t="n"/>
      <c r="B1294" s="4" t="n"/>
      <c r="C1294" s="4" t="n"/>
      <c r="D1294" s="4" t="n"/>
      <c r="E1294" s="4" t="n"/>
      <c r="F1294" s="4" t="n"/>
      <c r="G1294" s="4" t="n"/>
      <c r="H1294" s="4" t="n"/>
      <c r="I1294" s="9">
        <f>IF($H1294="","",IFERROR(INDEX('Settings'!$J$10:$J$39,MATCH($H1294,'Settings'!$I$10:$I$39,0)),""))</f>
        <v/>
      </c>
      <c r="J1294" s="6" t="n"/>
      <c r="K1294" s="8" t="n"/>
      <c r="L1294" s="8" t="n"/>
      <c r="M1294" s="14">
        <f>IF($A1294="","",$J1294*$K1294)</f>
        <v/>
      </c>
      <c r="N1294" s="14">
        <f>IF($A1294="","",$M1294-$L1294)</f>
        <v/>
      </c>
      <c r="O1294" s="4" t="n"/>
      <c r="P1294" s="15">
        <f>IF($A1294="","",DATE(YEAR($A1294),MONTH($A1294),1))</f>
        <v/>
      </c>
      <c r="Q1294" s="16">
        <f>IF($H1294="","",$J1294*IFERROR(INDEX('Settings'!$L$10:$L$39,MATCH($H1294,'Settings'!$I$10:$I$39,0)),0))</f>
        <v/>
      </c>
      <c r="R1294" s="17">
        <f>IF($A1294="","",$A1294-WEEKDAY($A1294,2)+1)</f>
        <v/>
      </c>
    </row>
    <row r="1295">
      <c r="A1295" s="5" t="n"/>
      <c r="B1295" s="4" t="n"/>
      <c r="C1295" s="4" t="n"/>
      <c r="D1295" s="4" t="n"/>
      <c r="E1295" s="4" t="n"/>
      <c r="F1295" s="4" t="n"/>
      <c r="G1295" s="4" t="n"/>
      <c r="H1295" s="4" t="n"/>
      <c r="I1295" s="9">
        <f>IF($H1295="","",IFERROR(INDEX('Settings'!$J$10:$J$39,MATCH($H1295,'Settings'!$I$10:$I$39,0)),""))</f>
        <v/>
      </c>
      <c r="J1295" s="6" t="n"/>
      <c r="K1295" s="8" t="n"/>
      <c r="L1295" s="8" t="n"/>
      <c r="M1295" s="14">
        <f>IF($A1295="","",$J1295*$K1295)</f>
        <v/>
      </c>
      <c r="N1295" s="14">
        <f>IF($A1295="","",$M1295-$L1295)</f>
        <v/>
      </c>
      <c r="O1295" s="4" t="n"/>
      <c r="P1295" s="15">
        <f>IF($A1295="","",DATE(YEAR($A1295),MONTH($A1295),1))</f>
        <v/>
      </c>
      <c r="Q1295" s="16">
        <f>IF($H1295="","",$J1295*IFERROR(INDEX('Settings'!$L$10:$L$39,MATCH($H1295,'Settings'!$I$10:$I$39,0)),0))</f>
        <v/>
      </c>
      <c r="R1295" s="17">
        <f>IF($A1295="","",$A1295-WEEKDAY($A1295,2)+1)</f>
        <v/>
      </c>
    </row>
    <row r="1296">
      <c r="A1296" s="5" t="n"/>
      <c r="B1296" s="4" t="n"/>
      <c r="C1296" s="4" t="n"/>
      <c r="D1296" s="4" t="n"/>
      <c r="E1296" s="4" t="n"/>
      <c r="F1296" s="4" t="n"/>
      <c r="G1296" s="4" t="n"/>
      <c r="H1296" s="4" t="n"/>
      <c r="I1296" s="9">
        <f>IF($H1296="","",IFERROR(INDEX('Settings'!$J$10:$J$39,MATCH($H1296,'Settings'!$I$10:$I$39,0)),""))</f>
        <v/>
      </c>
      <c r="J1296" s="6" t="n"/>
      <c r="K1296" s="8" t="n"/>
      <c r="L1296" s="8" t="n"/>
      <c r="M1296" s="14">
        <f>IF($A1296="","",$J1296*$K1296)</f>
        <v/>
      </c>
      <c r="N1296" s="14">
        <f>IF($A1296="","",$M1296-$L1296)</f>
        <v/>
      </c>
      <c r="O1296" s="4" t="n"/>
      <c r="P1296" s="15">
        <f>IF($A1296="","",DATE(YEAR($A1296),MONTH($A1296),1))</f>
        <v/>
      </c>
      <c r="Q1296" s="16">
        <f>IF($H1296="","",$J1296*IFERROR(INDEX('Settings'!$L$10:$L$39,MATCH($H1296,'Settings'!$I$10:$I$39,0)),0))</f>
        <v/>
      </c>
      <c r="R1296" s="17">
        <f>IF($A1296="","",$A1296-WEEKDAY($A1296,2)+1)</f>
        <v/>
      </c>
    </row>
    <row r="1297">
      <c r="A1297" s="5" t="n"/>
      <c r="B1297" s="4" t="n"/>
      <c r="C1297" s="4" t="n"/>
      <c r="D1297" s="4" t="n"/>
      <c r="E1297" s="4" t="n"/>
      <c r="F1297" s="4" t="n"/>
      <c r="G1297" s="4" t="n"/>
      <c r="H1297" s="4" t="n"/>
      <c r="I1297" s="9">
        <f>IF($H1297="","",IFERROR(INDEX('Settings'!$J$10:$J$39,MATCH($H1297,'Settings'!$I$10:$I$39,0)),""))</f>
        <v/>
      </c>
      <c r="J1297" s="6" t="n"/>
      <c r="K1297" s="8" t="n"/>
      <c r="L1297" s="8" t="n"/>
      <c r="M1297" s="14">
        <f>IF($A1297="","",$J1297*$K1297)</f>
        <v/>
      </c>
      <c r="N1297" s="14">
        <f>IF($A1297="","",$M1297-$L1297)</f>
        <v/>
      </c>
      <c r="O1297" s="4" t="n"/>
      <c r="P1297" s="15">
        <f>IF($A1297="","",DATE(YEAR($A1297),MONTH($A1297),1))</f>
        <v/>
      </c>
      <c r="Q1297" s="16">
        <f>IF($H1297="","",$J1297*IFERROR(INDEX('Settings'!$L$10:$L$39,MATCH($H1297,'Settings'!$I$10:$I$39,0)),0))</f>
        <v/>
      </c>
      <c r="R1297" s="17">
        <f>IF($A1297="","",$A1297-WEEKDAY($A1297,2)+1)</f>
        <v/>
      </c>
    </row>
    <row r="1298">
      <c r="A1298" s="5" t="n"/>
      <c r="B1298" s="4" t="n"/>
      <c r="C1298" s="4" t="n"/>
      <c r="D1298" s="4" t="n"/>
      <c r="E1298" s="4" t="n"/>
      <c r="F1298" s="4" t="n"/>
      <c r="G1298" s="4" t="n"/>
      <c r="H1298" s="4" t="n"/>
      <c r="I1298" s="9">
        <f>IF($H1298="","",IFERROR(INDEX('Settings'!$J$10:$J$39,MATCH($H1298,'Settings'!$I$10:$I$39,0)),""))</f>
        <v/>
      </c>
      <c r="J1298" s="6" t="n"/>
      <c r="K1298" s="8" t="n"/>
      <c r="L1298" s="8" t="n"/>
      <c r="M1298" s="14">
        <f>IF($A1298="","",$J1298*$K1298)</f>
        <v/>
      </c>
      <c r="N1298" s="14">
        <f>IF($A1298="","",$M1298-$L1298)</f>
        <v/>
      </c>
      <c r="O1298" s="4" t="n"/>
      <c r="P1298" s="15">
        <f>IF($A1298="","",DATE(YEAR($A1298),MONTH($A1298),1))</f>
        <v/>
      </c>
      <c r="Q1298" s="16">
        <f>IF($H1298="","",$J1298*IFERROR(INDEX('Settings'!$L$10:$L$39,MATCH($H1298,'Settings'!$I$10:$I$39,0)),0))</f>
        <v/>
      </c>
      <c r="R1298" s="17">
        <f>IF($A1298="","",$A1298-WEEKDAY($A1298,2)+1)</f>
        <v/>
      </c>
    </row>
    <row r="1299">
      <c r="A1299" s="5" t="n"/>
      <c r="B1299" s="4" t="n"/>
      <c r="C1299" s="4" t="n"/>
      <c r="D1299" s="4" t="n"/>
      <c r="E1299" s="4" t="n"/>
      <c r="F1299" s="4" t="n"/>
      <c r="G1299" s="4" t="n"/>
      <c r="H1299" s="4" t="n"/>
      <c r="I1299" s="9">
        <f>IF($H1299="","",IFERROR(INDEX('Settings'!$J$10:$J$39,MATCH($H1299,'Settings'!$I$10:$I$39,0)),""))</f>
        <v/>
      </c>
      <c r="J1299" s="6" t="n"/>
      <c r="K1299" s="8" t="n"/>
      <c r="L1299" s="8" t="n"/>
      <c r="M1299" s="14">
        <f>IF($A1299="","",$J1299*$K1299)</f>
        <v/>
      </c>
      <c r="N1299" s="14">
        <f>IF($A1299="","",$M1299-$L1299)</f>
        <v/>
      </c>
      <c r="O1299" s="4" t="n"/>
      <c r="P1299" s="15">
        <f>IF($A1299="","",DATE(YEAR($A1299),MONTH($A1299),1))</f>
        <v/>
      </c>
      <c r="Q1299" s="16">
        <f>IF($H1299="","",$J1299*IFERROR(INDEX('Settings'!$L$10:$L$39,MATCH($H1299,'Settings'!$I$10:$I$39,0)),0))</f>
        <v/>
      </c>
      <c r="R1299" s="17">
        <f>IF($A1299="","",$A1299-WEEKDAY($A1299,2)+1)</f>
        <v/>
      </c>
    </row>
    <row r="1300">
      <c r="A1300" s="5" t="n"/>
      <c r="B1300" s="4" t="n"/>
      <c r="C1300" s="4" t="n"/>
      <c r="D1300" s="4" t="n"/>
      <c r="E1300" s="4" t="n"/>
      <c r="F1300" s="4" t="n"/>
      <c r="G1300" s="4" t="n"/>
      <c r="H1300" s="4" t="n"/>
      <c r="I1300" s="9">
        <f>IF($H1300="","",IFERROR(INDEX('Settings'!$J$10:$J$39,MATCH($H1300,'Settings'!$I$10:$I$39,0)),""))</f>
        <v/>
      </c>
      <c r="J1300" s="6" t="n"/>
      <c r="K1300" s="8" t="n"/>
      <c r="L1300" s="8" t="n"/>
      <c r="M1300" s="14">
        <f>IF($A1300="","",$J1300*$K1300)</f>
        <v/>
      </c>
      <c r="N1300" s="14">
        <f>IF($A1300="","",$M1300-$L1300)</f>
        <v/>
      </c>
      <c r="O1300" s="4" t="n"/>
      <c r="P1300" s="15">
        <f>IF($A1300="","",DATE(YEAR($A1300),MONTH($A1300),1))</f>
        <v/>
      </c>
      <c r="Q1300" s="16">
        <f>IF($H1300="","",$J1300*IFERROR(INDEX('Settings'!$L$10:$L$39,MATCH($H1300,'Settings'!$I$10:$I$39,0)),0))</f>
        <v/>
      </c>
      <c r="R1300" s="17">
        <f>IF($A1300="","",$A1300-WEEKDAY($A1300,2)+1)</f>
        <v/>
      </c>
    </row>
    <row r="1301">
      <c r="A1301" s="5" t="n"/>
      <c r="B1301" s="4" t="n"/>
      <c r="C1301" s="4" t="n"/>
      <c r="D1301" s="4" t="n"/>
      <c r="E1301" s="4" t="n"/>
      <c r="F1301" s="4" t="n"/>
      <c r="G1301" s="4" t="n"/>
      <c r="H1301" s="4" t="n"/>
      <c r="I1301" s="9">
        <f>IF($H1301="","",IFERROR(INDEX('Settings'!$J$10:$J$39,MATCH($H1301,'Settings'!$I$10:$I$39,0)),""))</f>
        <v/>
      </c>
      <c r="J1301" s="6" t="n"/>
      <c r="K1301" s="8" t="n"/>
      <c r="L1301" s="8" t="n"/>
      <c r="M1301" s="14">
        <f>IF($A1301="","",$J1301*$K1301)</f>
        <v/>
      </c>
      <c r="N1301" s="14">
        <f>IF($A1301="","",$M1301-$L1301)</f>
        <v/>
      </c>
      <c r="O1301" s="4" t="n"/>
      <c r="P1301" s="15">
        <f>IF($A1301="","",DATE(YEAR($A1301),MONTH($A1301),1))</f>
        <v/>
      </c>
      <c r="Q1301" s="16">
        <f>IF($H1301="","",$J1301*IFERROR(INDEX('Settings'!$L$10:$L$39,MATCH($H1301,'Settings'!$I$10:$I$39,0)),0))</f>
        <v/>
      </c>
      <c r="R1301" s="17">
        <f>IF($A1301="","",$A1301-WEEKDAY($A1301,2)+1)</f>
        <v/>
      </c>
    </row>
    <row r="1302">
      <c r="A1302" s="5" t="n"/>
      <c r="B1302" s="4" t="n"/>
      <c r="C1302" s="4" t="n"/>
      <c r="D1302" s="4" t="n"/>
      <c r="E1302" s="4" t="n"/>
      <c r="F1302" s="4" t="n"/>
      <c r="G1302" s="4" t="n"/>
      <c r="H1302" s="4" t="n"/>
      <c r="I1302" s="9">
        <f>IF($H1302="","",IFERROR(INDEX('Settings'!$J$10:$J$39,MATCH($H1302,'Settings'!$I$10:$I$39,0)),""))</f>
        <v/>
      </c>
      <c r="J1302" s="6" t="n"/>
      <c r="K1302" s="8" t="n"/>
      <c r="L1302" s="8" t="n"/>
      <c r="M1302" s="14">
        <f>IF($A1302="","",$J1302*$K1302)</f>
        <v/>
      </c>
      <c r="N1302" s="14">
        <f>IF($A1302="","",$M1302-$L1302)</f>
        <v/>
      </c>
      <c r="O1302" s="4" t="n"/>
      <c r="P1302" s="15">
        <f>IF($A1302="","",DATE(YEAR($A1302),MONTH($A1302),1))</f>
        <v/>
      </c>
      <c r="Q1302" s="16">
        <f>IF($H1302="","",$J1302*IFERROR(INDEX('Settings'!$L$10:$L$39,MATCH($H1302,'Settings'!$I$10:$I$39,0)),0))</f>
        <v/>
      </c>
      <c r="R1302" s="17">
        <f>IF($A1302="","",$A1302-WEEKDAY($A1302,2)+1)</f>
        <v/>
      </c>
    </row>
    <row r="1303">
      <c r="A1303" s="5" t="n"/>
      <c r="B1303" s="4" t="n"/>
      <c r="C1303" s="4" t="n"/>
      <c r="D1303" s="4" t="n"/>
      <c r="E1303" s="4" t="n"/>
      <c r="F1303" s="4" t="n"/>
      <c r="G1303" s="4" t="n"/>
      <c r="H1303" s="4" t="n"/>
      <c r="I1303" s="9">
        <f>IF($H1303="","",IFERROR(INDEX('Settings'!$J$10:$J$39,MATCH($H1303,'Settings'!$I$10:$I$39,0)),""))</f>
        <v/>
      </c>
      <c r="J1303" s="6" t="n"/>
      <c r="K1303" s="8" t="n"/>
      <c r="L1303" s="8" t="n"/>
      <c r="M1303" s="14">
        <f>IF($A1303="","",$J1303*$K1303)</f>
        <v/>
      </c>
      <c r="N1303" s="14">
        <f>IF($A1303="","",$M1303-$L1303)</f>
        <v/>
      </c>
      <c r="O1303" s="4" t="n"/>
      <c r="P1303" s="15">
        <f>IF($A1303="","",DATE(YEAR($A1303),MONTH($A1303),1))</f>
        <v/>
      </c>
      <c r="Q1303" s="16">
        <f>IF($H1303="","",$J1303*IFERROR(INDEX('Settings'!$L$10:$L$39,MATCH($H1303,'Settings'!$I$10:$I$39,0)),0))</f>
        <v/>
      </c>
      <c r="R1303" s="17">
        <f>IF($A1303="","",$A1303-WEEKDAY($A1303,2)+1)</f>
        <v/>
      </c>
    </row>
    <row r="1304">
      <c r="A1304" s="5" t="n"/>
      <c r="B1304" s="4" t="n"/>
      <c r="C1304" s="4" t="n"/>
      <c r="D1304" s="4" t="n"/>
      <c r="E1304" s="4" t="n"/>
      <c r="F1304" s="4" t="n"/>
      <c r="G1304" s="4" t="n"/>
      <c r="H1304" s="4" t="n"/>
      <c r="I1304" s="9">
        <f>IF($H1304="","",IFERROR(INDEX('Settings'!$J$10:$J$39,MATCH($H1304,'Settings'!$I$10:$I$39,0)),""))</f>
        <v/>
      </c>
      <c r="J1304" s="6" t="n"/>
      <c r="K1304" s="8" t="n"/>
      <c r="L1304" s="8" t="n"/>
      <c r="M1304" s="14">
        <f>IF($A1304="","",$J1304*$K1304)</f>
        <v/>
      </c>
      <c r="N1304" s="14">
        <f>IF($A1304="","",$M1304-$L1304)</f>
        <v/>
      </c>
      <c r="O1304" s="4" t="n"/>
      <c r="P1304" s="15">
        <f>IF($A1304="","",DATE(YEAR($A1304),MONTH($A1304),1))</f>
        <v/>
      </c>
      <c r="Q1304" s="16">
        <f>IF($H1304="","",$J1304*IFERROR(INDEX('Settings'!$L$10:$L$39,MATCH($H1304,'Settings'!$I$10:$I$39,0)),0))</f>
        <v/>
      </c>
      <c r="R1304" s="17">
        <f>IF($A1304="","",$A1304-WEEKDAY($A1304,2)+1)</f>
        <v/>
      </c>
    </row>
    <row r="1305">
      <c r="A1305" s="5" t="n"/>
      <c r="B1305" s="4" t="n"/>
      <c r="C1305" s="4" t="n"/>
      <c r="D1305" s="4" t="n"/>
      <c r="E1305" s="4" t="n"/>
      <c r="F1305" s="4" t="n"/>
      <c r="G1305" s="4" t="n"/>
      <c r="H1305" s="4" t="n"/>
      <c r="I1305" s="9">
        <f>IF($H1305="","",IFERROR(INDEX('Settings'!$J$10:$J$39,MATCH($H1305,'Settings'!$I$10:$I$39,0)),""))</f>
        <v/>
      </c>
      <c r="J1305" s="6" t="n"/>
      <c r="K1305" s="8" t="n"/>
      <c r="L1305" s="8" t="n"/>
      <c r="M1305" s="14">
        <f>IF($A1305="","",$J1305*$K1305)</f>
        <v/>
      </c>
      <c r="N1305" s="14">
        <f>IF($A1305="","",$M1305-$L1305)</f>
        <v/>
      </c>
      <c r="O1305" s="4" t="n"/>
      <c r="P1305" s="15">
        <f>IF($A1305="","",DATE(YEAR($A1305),MONTH($A1305),1))</f>
        <v/>
      </c>
      <c r="Q1305" s="16">
        <f>IF($H1305="","",$J1305*IFERROR(INDEX('Settings'!$L$10:$L$39,MATCH($H1305,'Settings'!$I$10:$I$39,0)),0))</f>
        <v/>
      </c>
      <c r="R1305" s="17">
        <f>IF($A1305="","",$A1305-WEEKDAY($A1305,2)+1)</f>
        <v/>
      </c>
    </row>
    <row r="1306">
      <c r="A1306" s="5" t="n"/>
      <c r="B1306" s="4" t="n"/>
      <c r="C1306" s="4" t="n"/>
      <c r="D1306" s="4" t="n"/>
      <c r="E1306" s="4" t="n"/>
      <c r="F1306" s="4" t="n"/>
      <c r="G1306" s="4" t="n"/>
      <c r="H1306" s="4" t="n"/>
      <c r="I1306" s="9">
        <f>IF($H1306="","",IFERROR(INDEX('Settings'!$J$10:$J$39,MATCH($H1306,'Settings'!$I$10:$I$39,0)),""))</f>
        <v/>
      </c>
      <c r="J1306" s="6" t="n"/>
      <c r="K1306" s="8" t="n"/>
      <c r="L1306" s="8" t="n"/>
      <c r="M1306" s="14">
        <f>IF($A1306="","",$J1306*$K1306)</f>
        <v/>
      </c>
      <c r="N1306" s="14">
        <f>IF($A1306="","",$M1306-$L1306)</f>
        <v/>
      </c>
      <c r="O1306" s="4" t="n"/>
      <c r="P1306" s="15">
        <f>IF($A1306="","",DATE(YEAR($A1306),MONTH($A1306),1))</f>
        <v/>
      </c>
      <c r="Q1306" s="16">
        <f>IF($H1306="","",$J1306*IFERROR(INDEX('Settings'!$L$10:$L$39,MATCH($H1306,'Settings'!$I$10:$I$39,0)),0))</f>
        <v/>
      </c>
      <c r="R1306" s="17">
        <f>IF($A1306="","",$A1306-WEEKDAY($A1306,2)+1)</f>
        <v/>
      </c>
    </row>
    <row r="1307">
      <c r="A1307" s="5" t="n"/>
      <c r="B1307" s="4" t="n"/>
      <c r="C1307" s="4" t="n"/>
      <c r="D1307" s="4" t="n"/>
      <c r="E1307" s="4" t="n"/>
      <c r="F1307" s="4" t="n"/>
      <c r="G1307" s="4" t="n"/>
      <c r="H1307" s="4" t="n"/>
      <c r="I1307" s="9">
        <f>IF($H1307="","",IFERROR(INDEX('Settings'!$J$10:$J$39,MATCH($H1307,'Settings'!$I$10:$I$39,0)),""))</f>
        <v/>
      </c>
      <c r="J1307" s="6" t="n"/>
      <c r="K1307" s="8" t="n"/>
      <c r="L1307" s="8" t="n"/>
      <c r="M1307" s="14">
        <f>IF($A1307="","",$J1307*$K1307)</f>
        <v/>
      </c>
      <c r="N1307" s="14">
        <f>IF($A1307="","",$M1307-$L1307)</f>
        <v/>
      </c>
      <c r="O1307" s="4" t="n"/>
      <c r="P1307" s="15">
        <f>IF($A1307="","",DATE(YEAR($A1307),MONTH($A1307),1))</f>
        <v/>
      </c>
      <c r="Q1307" s="16">
        <f>IF($H1307="","",$J1307*IFERROR(INDEX('Settings'!$L$10:$L$39,MATCH($H1307,'Settings'!$I$10:$I$39,0)),0))</f>
        <v/>
      </c>
      <c r="R1307" s="17">
        <f>IF($A1307="","",$A1307-WEEKDAY($A1307,2)+1)</f>
        <v/>
      </c>
    </row>
    <row r="1308">
      <c r="A1308" s="5" t="n"/>
      <c r="B1308" s="4" t="n"/>
      <c r="C1308" s="4" t="n"/>
      <c r="D1308" s="4" t="n"/>
      <c r="E1308" s="4" t="n"/>
      <c r="F1308" s="4" t="n"/>
      <c r="G1308" s="4" t="n"/>
      <c r="H1308" s="4" t="n"/>
      <c r="I1308" s="9">
        <f>IF($H1308="","",IFERROR(INDEX('Settings'!$J$10:$J$39,MATCH($H1308,'Settings'!$I$10:$I$39,0)),""))</f>
        <v/>
      </c>
      <c r="J1308" s="6" t="n"/>
      <c r="K1308" s="8" t="n"/>
      <c r="L1308" s="8" t="n"/>
      <c r="M1308" s="14">
        <f>IF($A1308="","",$J1308*$K1308)</f>
        <v/>
      </c>
      <c r="N1308" s="14">
        <f>IF($A1308="","",$M1308-$L1308)</f>
        <v/>
      </c>
      <c r="O1308" s="4" t="n"/>
      <c r="P1308" s="15">
        <f>IF($A1308="","",DATE(YEAR($A1308),MONTH($A1308),1))</f>
        <v/>
      </c>
      <c r="Q1308" s="16">
        <f>IF($H1308="","",$J1308*IFERROR(INDEX('Settings'!$L$10:$L$39,MATCH($H1308,'Settings'!$I$10:$I$39,0)),0))</f>
        <v/>
      </c>
      <c r="R1308" s="17">
        <f>IF($A1308="","",$A1308-WEEKDAY($A1308,2)+1)</f>
        <v/>
      </c>
    </row>
    <row r="1309">
      <c r="A1309" s="5" t="n"/>
      <c r="B1309" s="4" t="n"/>
      <c r="C1309" s="4" t="n"/>
      <c r="D1309" s="4" t="n"/>
      <c r="E1309" s="4" t="n"/>
      <c r="F1309" s="4" t="n"/>
      <c r="G1309" s="4" t="n"/>
      <c r="H1309" s="4" t="n"/>
      <c r="I1309" s="9">
        <f>IF($H1309="","",IFERROR(INDEX('Settings'!$J$10:$J$39,MATCH($H1309,'Settings'!$I$10:$I$39,0)),""))</f>
        <v/>
      </c>
      <c r="J1309" s="6" t="n"/>
      <c r="K1309" s="8" t="n"/>
      <c r="L1309" s="8" t="n"/>
      <c r="M1309" s="14">
        <f>IF($A1309="","",$J1309*$K1309)</f>
        <v/>
      </c>
      <c r="N1309" s="14">
        <f>IF($A1309="","",$M1309-$L1309)</f>
        <v/>
      </c>
      <c r="O1309" s="4" t="n"/>
      <c r="P1309" s="15">
        <f>IF($A1309="","",DATE(YEAR($A1309),MONTH($A1309),1))</f>
        <v/>
      </c>
      <c r="Q1309" s="16">
        <f>IF($H1309="","",$J1309*IFERROR(INDEX('Settings'!$L$10:$L$39,MATCH($H1309,'Settings'!$I$10:$I$39,0)),0))</f>
        <v/>
      </c>
      <c r="R1309" s="17">
        <f>IF($A1309="","",$A1309-WEEKDAY($A1309,2)+1)</f>
        <v/>
      </c>
    </row>
    <row r="1310">
      <c r="A1310" s="5" t="n"/>
      <c r="B1310" s="4" t="n"/>
      <c r="C1310" s="4" t="n"/>
      <c r="D1310" s="4" t="n"/>
      <c r="E1310" s="4" t="n"/>
      <c r="F1310" s="4" t="n"/>
      <c r="G1310" s="4" t="n"/>
      <c r="H1310" s="4" t="n"/>
      <c r="I1310" s="9">
        <f>IF($H1310="","",IFERROR(INDEX('Settings'!$J$10:$J$39,MATCH($H1310,'Settings'!$I$10:$I$39,0)),""))</f>
        <v/>
      </c>
      <c r="J1310" s="6" t="n"/>
      <c r="K1310" s="8" t="n"/>
      <c r="L1310" s="8" t="n"/>
      <c r="M1310" s="14">
        <f>IF($A1310="","",$J1310*$K1310)</f>
        <v/>
      </c>
      <c r="N1310" s="14">
        <f>IF($A1310="","",$M1310-$L1310)</f>
        <v/>
      </c>
      <c r="O1310" s="4" t="n"/>
      <c r="P1310" s="15">
        <f>IF($A1310="","",DATE(YEAR($A1310),MONTH($A1310),1))</f>
        <v/>
      </c>
      <c r="Q1310" s="16">
        <f>IF($H1310="","",$J1310*IFERROR(INDEX('Settings'!$L$10:$L$39,MATCH($H1310,'Settings'!$I$10:$I$39,0)),0))</f>
        <v/>
      </c>
      <c r="R1310" s="17">
        <f>IF($A1310="","",$A1310-WEEKDAY($A1310,2)+1)</f>
        <v/>
      </c>
    </row>
    <row r="1311">
      <c r="A1311" s="5" t="n"/>
      <c r="B1311" s="4" t="n"/>
      <c r="C1311" s="4" t="n"/>
      <c r="D1311" s="4" t="n"/>
      <c r="E1311" s="4" t="n"/>
      <c r="F1311" s="4" t="n"/>
      <c r="G1311" s="4" t="n"/>
      <c r="H1311" s="4" t="n"/>
      <c r="I1311" s="9">
        <f>IF($H1311="","",IFERROR(INDEX('Settings'!$J$10:$J$39,MATCH($H1311,'Settings'!$I$10:$I$39,0)),""))</f>
        <v/>
      </c>
      <c r="J1311" s="6" t="n"/>
      <c r="K1311" s="8" t="n"/>
      <c r="L1311" s="8" t="n"/>
      <c r="M1311" s="14">
        <f>IF($A1311="","",$J1311*$K1311)</f>
        <v/>
      </c>
      <c r="N1311" s="14">
        <f>IF($A1311="","",$M1311-$L1311)</f>
        <v/>
      </c>
      <c r="O1311" s="4" t="n"/>
      <c r="P1311" s="15">
        <f>IF($A1311="","",DATE(YEAR($A1311),MONTH($A1311),1))</f>
        <v/>
      </c>
      <c r="Q1311" s="16">
        <f>IF($H1311="","",$J1311*IFERROR(INDEX('Settings'!$L$10:$L$39,MATCH($H1311,'Settings'!$I$10:$I$39,0)),0))</f>
        <v/>
      </c>
      <c r="R1311" s="17">
        <f>IF($A1311="","",$A1311-WEEKDAY($A1311,2)+1)</f>
        <v/>
      </c>
    </row>
    <row r="1312">
      <c r="A1312" s="5" t="n"/>
      <c r="B1312" s="4" t="n"/>
      <c r="C1312" s="4" t="n"/>
      <c r="D1312" s="4" t="n"/>
      <c r="E1312" s="4" t="n"/>
      <c r="F1312" s="4" t="n"/>
      <c r="G1312" s="4" t="n"/>
      <c r="H1312" s="4" t="n"/>
      <c r="I1312" s="9">
        <f>IF($H1312="","",IFERROR(INDEX('Settings'!$J$10:$J$39,MATCH($H1312,'Settings'!$I$10:$I$39,0)),""))</f>
        <v/>
      </c>
      <c r="J1312" s="6" t="n"/>
      <c r="K1312" s="8" t="n"/>
      <c r="L1312" s="8" t="n"/>
      <c r="M1312" s="14">
        <f>IF($A1312="","",$J1312*$K1312)</f>
        <v/>
      </c>
      <c r="N1312" s="14">
        <f>IF($A1312="","",$M1312-$L1312)</f>
        <v/>
      </c>
      <c r="O1312" s="4" t="n"/>
      <c r="P1312" s="15">
        <f>IF($A1312="","",DATE(YEAR($A1312),MONTH($A1312),1))</f>
        <v/>
      </c>
      <c r="Q1312" s="16">
        <f>IF($H1312="","",$J1312*IFERROR(INDEX('Settings'!$L$10:$L$39,MATCH($H1312,'Settings'!$I$10:$I$39,0)),0))</f>
        <v/>
      </c>
      <c r="R1312" s="17">
        <f>IF($A1312="","",$A1312-WEEKDAY($A1312,2)+1)</f>
        <v/>
      </c>
    </row>
    <row r="1313">
      <c r="A1313" s="5" t="n"/>
      <c r="B1313" s="4" t="n"/>
      <c r="C1313" s="4" t="n"/>
      <c r="D1313" s="4" t="n"/>
      <c r="E1313" s="4" t="n"/>
      <c r="F1313" s="4" t="n"/>
      <c r="G1313" s="4" t="n"/>
      <c r="H1313" s="4" t="n"/>
      <c r="I1313" s="9">
        <f>IF($H1313="","",IFERROR(INDEX('Settings'!$J$10:$J$39,MATCH($H1313,'Settings'!$I$10:$I$39,0)),""))</f>
        <v/>
      </c>
      <c r="J1313" s="6" t="n"/>
      <c r="K1313" s="8" t="n"/>
      <c r="L1313" s="8" t="n"/>
      <c r="M1313" s="14">
        <f>IF($A1313="","",$J1313*$K1313)</f>
        <v/>
      </c>
      <c r="N1313" s="14">
        <f>IF($A1313="","",$M1313-$L1313)</f>
        <v/>
      </c>
      <c r="O1313" s="4" t="n"/>
      <c r="P1313" s="15">
        <f>IF($A1313="","",DATE(YEAR($A1313),MONTH($A1313),1))</f>
        <v/>
      </c>
      <c r="Q1313" s="16">
        <f>IF($H1313="","",$J1313*IFERROR(INDEX('Settings'!$L$10:$L$39,MATCH($H1313,'Settings'!$I$10:$I$39,0)),0))</f>
        <v/>
      </c>
      <c r="R1313" s="17">
        <f>IF($A1313="","",$A1313-WEEKDAY($A1313,2)+1)</f>
        <v/>
      </c>
    </row>
    <row r="1314">
      <c r="A1314" s="5" t="n"/>
      <c r="B1314" s="4" t="n"/>
      <c r="C1314" s="4" t="n"/>
      <c r="D1314" s="4" t="n"/>
      <c r="E1314" s="4" t="n"/>
      <c r="F1314" s="4" t="n"/>
      <c r="G1314" s="4" t="n"/>
      <c r="H1314" s="4" t="n"/>
      <c r="I1314" s="9">
        <f>IF($H1314="","",IFERROR(INDEX('Settings'!$J$10:$J$39,MATCH($H1314,'Settings'!$I$10:$I$39,0)),""))</f>
        <v/>
      </c>
      <c r="J1314" s="6" t="n"/>
      <c r="K1314" s="8" t="n"/>
      <c r="L1314" s="8" t="n"/>
      <c r="M1314" s="14">
        <f>IF($A1314="","",$J1314*$K1314)</f>
        <v/>
      </c>
      <c r="N1314" s="14">
        <f>IF($A1314="","",$M1314-$L1314)</f>
        <v/>
      </c>
      <c r="O1314" s="4" t="n"/>
      <c r="P1314" s="15">
        <f>IF($A1314="","",DATE(YEAR($A1314),MONTH($A1314),1))</f>
        <v/>
      </c>
      <c r="Q1314" s="16">
        <f>IF($H1314="","",$J1314*IFERROR(INDEX('Settings'!$L$10:$L$39,MATCH($H1314,'Settings'!$I$10:$I$39,0)),0))</f>
        <v/>
      </c>
      <c r="R1314" s="17">
        <f>IF($A1314="","",$A1314-WEEKDAY($A1314,2)+1)</f>
        <v/>
      </c>
    </row>
    <row r="1315">
      <c r="A1315" s="5" t="n"/>
      <c r="B1315" s="4" t="n"/>
      <c r="C1315" s="4" t="n"/>
      <c r="D1315" s="4" t="n"/>
      <c r="E1315" s="4" t="n"/>
      <c r="F1315" s="4" t="n"/>
      <c r="G1315" s="4" t="n"/>
      <c r="H1315" s="4" t="n"/>
      <c r="I1315" s="9">
        <f>IF($H1315="","",IFERROR(INDEX('Settings'!$J$10:$J$39,MATCH($H1315,'Settings'!$I$10:$I$39,0)),""))</f>
        <v/>
      </c>
      <c r="J1315" s="6" t="n"/>
      <c r="K1315" s="8" t="n"/>
      <c r="L1315" s="8" t="n"/>
      <c r="M1315" s="14">
        <f>IF($A1315="","",$J1315*$K1315)</f>
        <v/>
      </c>
      <c r="N1315" s="14">
        <f>IF($A1315="","",$M1315-$L1315)</f>
        <v/>
      </c>
      <c r="O1315" s="4" t="n"/>
      <c r="P1315" s="15">
        <f>IF($A1315="","",DATE(YEAR($A1315),MONTH($A1315),1))</f>
        <v/>
      </c>
      <c r="Q1315" s="16">
        <f>IF($H1315="","",$J1315*IFERROR(INDEX('Settings'!$L$10:$L$39,MATCH($H1315,'Settings'!$I$10:$I$39,0)),0))</f>
        <v/>
      </c>
      <c r="R1315" s="17">
        <f>IF($A1315="","",$A1315-WEEKDAY($A1315,2)+1)</f>
        <v/>
      </c>
    </row>
    <row r="1316">
      <c r="A1316" s="5" t="n"/>
      <c r="B1316" s="4" t="n"/>
      <c r="C1316" s="4" t="n"/>
      <c r="D1316" s="4" t="n"/>
      <c r="E1316" s="4" t="n"/>
      <c r="F1316" s="4" t="n"/>
      <c r="G1316" s="4" t="n"/>
      <c r="H1316" s="4" t="n"/>
      <c r="I1316" s="9">
        <f>IF($H1316="","",IFERROR(INDEX('Settings'!$J$10:$J$39,MATCH($H1316,'Settings'!$I$10:$I$39,0)),""))</f>
        <v/>
      </c>
      <c r="J1316" s="6" t="n"/>
      <c r="K1316" s="8" t="n"/>
      <c r="L1316" s="8" t="n"/>
      <c r="M1316" s="14">
        <f>IF($A1316="","",$J1316*$K1316)</f>
        <v/>
      </c>
      <c r="N1316" s="14">
        <f>IF($A1316="","",$M1316-$L1316)</f>
        <v/>
      </c>
      <c r="O1316" s="4" t="n"/>
      <c r="P1316" s="15">
        <f>IF($A1316="","",DATE(YEAR($A1316),MONTH($A1316),1))</f>
        <v/>
      </c>
      <c r="Q1316" s="16">
        <f>IF($H1316="","",$J1316*IFERROR(INDEX('Settings'!$L$10:$L$39,MATCH($H1316,'Settings'!$I$10:$I$39,0)),0))</f>
        <v/>
      </c>
      <c r="R1316" s="17">
        <f>IF($A1316="","",$A1316-WEEKDAY($A1316,2)+1)</f>
        <v/>
      </c>
    </row>
    <row r="1317">
      <c r="A1317" s="5" t="n"/>
      <c r="B1317" s="4" t="n"/>
      <c r="C1317" s="4" t="n"/>
      <c r="D1317" s="4" t="n"/>
      <c r="E1317" s="4" t="n"/>
      <c r="F1317" s="4" t="n"/>
      <c r="G1317" s="4" t="n"/>
      <c r="H1317" s="4" t="n"/>
      <c r="I1317" s="9">
        <f>IF($H1317="","",IFERROR(INDEX('Settings'!$J$10:$J$39,MATCH($H1317,'Settings'!$I$10:$I$39,0)),""))</f>
        <v/>
      </c>
      <c r="J1317" s="6" t="n"/>
      <c r="K1317" s="8" t="n"/>
      <c r="L1317" s="8" t="n"/>
      <c r="M1317" s="14">
        <f>IF($A1317="","",$J1317*$K1317)</f>
        <v/>
      </c>
      <c r="N1317" s="14">
        <f>IF($A1317="","",$M1317-$L1317)</f>
        <v/>
      </c>
      <c r="O1317" s="4" t="n"/>
      <c r="P1317" s="15">
        <f>IF($A1317="","",DATE(YEAR($A1317),MONTH($A1317),1))</f>
        <v/>
      </c>
      <c r="Q1317" s="16">
        <f>IF($H1317="","",$J1317*IFERROR(INDEX('Settings'!$L$10:$L$39,MATCH($H1317,'Settings'!$I$10:$I$39,0)),0))</f>
        <v/>
      </c>
      <c r="R1317" s="17">
        <f>IF($A1317="","",$A1317-WEEKDAY($A1317,2)+1)</f>
        <v/>
      </c>
    </row>
    <row r="1318">
      <c r="A1318" s="5" t="n"/>
      <c r="B1318" s="4" t="n"/>
      <c r="C1318" s="4" t="n"/>
      <c r="D1318" s="4" t="n"/>
      <c r="E1318" s="4" t="n"/>
      <c r="F1318" s="4" t="n"/>
      <c r="G1318" s="4" t="n"/>
      <c r="H1318" s="4" t="n"/>
      <c r="I1318" s="9">
        <f>IF($H1318="","",IFERROR(INDEX('Settings'!$J$10:$J$39,MATCH($H1318,'Settings'!$I$10:$I$39,0)),""))</f>
        <v/>
      </c>
      <c r="J1318" s="6" t="n"/>
      <c r="K1318" s="8" t="n"/>
      <c r="L1318" s="8" t="n"/>
      <c r="M1318" s="14">
        <f>IF($A1318="","",$J1318*$K1318)</f>
        <v/>
      </c>
      <c r="N1318" s="14">
        <f>IF($A1318="","",$M1318-$L1318)</f>
        <v/>
      </c>
      <c r="O1318" s="4" t="n"/>
      <c r="P1318" s="15">
        <f>IF($A1318="","",DATE(YEAR($A1318),MONTH($A1318),1))</f>
        <v/>
      </c>
      <c r="Q1318" s="16">
        <f>IF($H1318="","",$J1318*IFERROR(INDEX('Settings'!$L$10:$L$39,MATCH($H1318,'Settings'!$I$10:$I$39,0)),0))</f>
        <v/>
      </c>
      <c r="R1318" s="17">
        <f>IF($A1318="","",$A1318-WEEKDAY($A1318,2)+1)</f>
        <v/>
      </c>
    </row>
    <row r="1319">
      <c r="A1319" s="5" t="n"/>
      <c r="B1319" s="4" t="n"/>
      <c r="C1319" s="4" t="n"/>
      <c r="D1319" s="4" t="n"/>
      <c r="E1319" s="4" t="n"/>
      <c r="F1319" s="4" t="n"/>
      <c r="G1319" s="4" t="n"/>
      <c r="H1319" s="4" t="n"/>
      <c r="I1319" s="9">
        <f>IF($H1319="","",IFERROR(INDEX('Settings'!$J$10:$J$39,MATCH($H1319,'Settings'!$I$10:$I$39,0)),""))</f>
        <v/>
      </c>
      <c r="J1319" s="6" t="n"/>
      <c r="K1319" s="8" t="n"/>
      <c r="L1319" s="8" t="n"/>
      <c r="M1319" s="14">
        <f>IF($A1319="","",$J1319*$K1319)</f>
        <v/>
      </c>
      <c r="N1319" s="14">
        <f>IF($A1319="","",$M1319-$L1319)</f>
        <v/>
      </c>
      <c r="O1319" s="4" t="n"/>
      <c r="P1319" s="15">
        <f>IF($A1319="","",DATE(YEAR($A1319),MONTH($A1319),1))</f>
        <v/>
      </c>
      <c r="Q1319" s="16">
        <f>IF($H1319="","",$J1319*IFERROR(INDEX('Settings'!$L$10:$L$39,MATCH($H1319,'Settings'!$I$10:$I$39,0)),0))</f>
        <v/>
      </c>
      <c r="R1319" s="17">
        <f>IF($A1319="","",$A1319-WEEKDAY($A1319,2)+1)</f>
        <v/>
      </c>
    </row>
    <row r="1320">
      <c r="A1320" s="5" t="n"/>
      <c r="B1320" s="4" t="n"/>
      <c r="C1320" s="4" t="n"/>
      <c r="D1320" s="4" t="n"/>
      <c r="E1320" s="4" t="n"/>
      <c r="F1320" s="4" t="n"/>
      <c r="G1320" s="4" t="n"/>
      <c r="H1320" s="4" t="n"/>
      <c r="I1320" s="9">
        <f>IF($H1320="","",IFERROR(INDEX('Settings'!$J$10:$J$39,MATCH($H1320,'Settings'!$I$10:$I$39,0)),""))</f>
        <v/>
      </c>
      <c r="J1320" s="6" t="n"/>
      <c r="K1320" s="8" t="n"/>
      <c r="L1320" s="8" t="n"/>
      <c r="M1320" s="14">
        <f>IF($A1320="","",$J1320*$K1320)</f>
        <v/>
      </c>
      <c r="N1320" s="14">
        <f>IF($A1320="","",$M1320-$L1320)</f>
        <v/>
      </c>
      <c r="O1320" s="4" t="n"/>
      <c r="P1320" s="15">
        <f>IF($A1320="","",DATE(YEAR($A1320),MONTH($A1320),1))</f>
        <v/>
      </c>
      <c r="Q1320" s="16">
        <f>IF($H1320="","",$J1320*IFERROR(INDEX('Settings'!$L$10:$L$39,MATCH($H1320,'Settings'!$I$10:$I$39,0)),0))</f>
        <v/>
      </c>
      <c r="R1320" s="17">
        <f>IF($A1320="","",$A1320-WEEKDAY($A1320,2)+1)</f>
        <v/>
      </c>
    </row>
    <row r="1321">
      <c r="A1321" s="5" t="n"/>
      <c r="B1321" s="4" t="n"/>
      <c r="C1321" s="4" t="n"/>
      <c r="D1321" s="4" t="n"/>
      <c r="E1321" s="4" t="n"/>
      <c r="F1321" s="4" t="n"/>
      <c r="G1321" s="4" t="n"/>
      <c r="H1321" s="4" t="n"/>
      <c r="I1321" s="9">
        <f>IF($H1321="","",IFERROR(INDEX('Settings'!$J$10:$J$39,MATCH($H1321,'Settings'!$I$10:$I$39,0)),""))</f>
        <v/>
      </c>
      <c r="J1321" s="6" t="n"/>
      <c r="K1321" s="8" t="n"/>
      <c r="L1321" s="8" t="n"/>
      <c r="M1321" s="14">
        <f>IF($A1321="","",$J1321*$K1321)</f>
        <v/>
      </c>
      <c r="N1321" s="14">
        <f>IF($A1321="","",$M1321-$L1321)</f>
        <v/>
      </c>
      <c r="O1321" s="4" t="n"/>
      <c r="P1321" s="15">
        <f>IF($A1321="","",DATE(YEAR($A1321),MONTH($A1321),1))</f>
        <v/>
      </c>
      <c r="Q1321" s="16">
        <f>IF($H1321="","",$J1321*IFERROR(INDEX('Settings'!$L$10:$L$39,MATCH($H1321,'Settings'!$I$10:$I$39,0)),0))</f>
        <v/>
      </c>
      <c r="R1321" s="17">
        <f>IF($A1321="","",$A1321-WEEKDAY($A1321,2)+1)</f>
        <v/>
      </c>
    </row>
    <row r="1322">
      <c r="A1322" s="5" t="n"/>
      <c r="B1322" s="4" t="n"/>
      <c r="C1322" s="4" t="n"/>
      <c r="D1322" s="4" t="n"/>
      <c r="E1322" s="4" t="n"/>
      <c r="F1322" s="4" t="n"/>
      <c r="G1322" s="4" t="n"/>
      <c r="H1322" s="4" t="n"/>
      <c r="I1322" s="9">
        <f>IF($H1322="","",IFERROR(INDEX('Settings'!$J$10:$J$39,MATCH($H1322,'Settings'!$I$10:$I$39,0)),""))</f>
        <v/>
      </c>
      <c r="J1322" s="6" t="n"/>
      <c r="K1322" s="8" t="n"/>
      <c r="L1322" s="8" t="n"/>
      <c r="M1322" s="14">
        <f>IF($A1322="","",$J1322*$K1322)</f>
        <v/>
      </c>
      <c r="N1322" s="14">
        <f>IF($A1322="","",$M1322-$L1322)</f>
        <v/>
      </c>
      <c r="O1322" s="4" t="n"/>
      <c r="P1322" s="15">
        <f>IF($A1322="","",DATE(YEAR($A1322),MONTH($A1322),1))</f>
        <v/>
      </c>
      <c r="Q1322" s="16">
        <f>IF($H1322="","",$J1322*IFERROR(INDEX('Settings'!$L$10:$L$39,MATCH($H1322,'Settings'!$I$10:$I$39,0)),0))</f>
        <v/>
      </c>
      <c r="R1322" s="17">
        <f>IF($A1322="","",$A1322-WEEKDAY($A1322,2)+1)</f>
        <v/>
      </c>
    </row>
    <row r="1323">
      <c r="A1323" s="5" t="n"/>
      <c r="B1323" s="4" t="n"/>
      <c r="C1323" s="4" t="n"/>
      <c r="D1323" s="4" t="n"/>
      <c r="E1323" s="4" t="n"/>
      <c r="F1323" s="4" t="n"/>
      <c r="G1323" s="4" t="n"/>
      <c r="H1323" s="4" t="n"/>
      <c r="I1323" s="9">
        <f>IF($H1323="","",IFERROR(INDEX('Settings'!$J$10:$J$39,MATCH($H1323,'Settings'!$I$10:$I$39,0)),""))</f>
        <v/>
      </c>
      <c r="J1323" s="6" t="n"/>
      <c r="K1323" s="8" t="n"/>
      <c r="L1323" s="8" t="n"/>
      <c r="M1323" s="14">
        <f>IF($A1323="","",$J1323*$K1323)</f>
        <v/>
      </c>
      <c r="N1323" s="14">
        <f>IF($A1323="","",$M1323-$L1323)</f>
        <v/>
      </c>
      <c r="O1323" s="4" t="n"/>
      <c r="P1323" s="15">
        <f>IF($A1323="","",DATE(YEAR($A1323),MONTH($A1323),1))</f>
        <v/>
      </c>
      <c r="Q1323" s="16">
        <f>IF($H1323="","",$J1323*IFERROR(INDEX('Settings'!$L$10:$L$39,MATCH($H1323,'Settings'!$I$10:$I$39,0)),0))</f>
        <v/>
      </c>
      <c r="R1323" s="17">
        <f>IF($A1323="","",$A1323-WEEKDAY($A1323,2)+1)</f>
        <v/>
      </c>
    </row>
    <row r="1324">
      <c r="A1324" s="5" t="n"/>
      <c r="B1324" s="4" t="n"/>
      <c r="C1324" s="4" t="n"/>
      <c r="D1324" s="4" t="n"/>
      <c r="E1324" s="4" t="n"/>
      <c r="F1324" s="4" t="n"/>
      <c r="G1324" s="4" t="n"/>
      <c r="H1324" s="4" t="n"/>
      <c r="I1324" s="9">
        <f>IF($H1324="","",IFERROR(INDEX('Settings'!$J$10:$J$39,MATCH($H1324,'Settings'!$I$10:$I$39,0)),""))</f>
        <v/>
      </c>
      <c r="J1324" s="6" t="n"/>
      <c r="K1324" s="8" t="n"/>
      <c r="L1324" s="8" t="n"/>
      <c r="M1324" s="14">
        <f>IF($A1324="","",$J1324*$K1324)</f>
        <v/>
      </c>
      <c r="N1324" s="14">
        <f>IF($A1324="","",$M1324-$L1324)</f>
        <v/>
      </c>
      <c r="O1324" s="4" t="n"/>
      <c r="P1324" s="15">
        <f>IF($A1324="","",DATE(YEAR($A1324),MONTH($A1324),1))</f>
        <v/>
      </c>
      <c r="Q1324" s="16">
        <f>IF($H1324="","",$J1324*IFERROR(INDEX('Settings'!$L$10:$L$39,MATCH($H1324,'Settings'!$I$10:$I$39,0)),0))</f>
        <v/>
      </c>
      <c r="R1324" s="17">
        <f>IF($A1324="","",$A1324-WEEKDAY($A1324,2)+1)</f>
        <v/>
      </c>
    </row>
    <row r="1325">
      <c r="A1325" s="5" t="n"/>
      <c r="B1325" s="4" t="n"/>
      <c r="C1325" s="4" t="n"/>
      <c r="D1325" s="4" t="n"/>
      <c r="E1325" s="4" t="n"/>
      <c r="F1325" s="4" t="n"/>
      <c r="G1325" s="4" t="n"/>
      <c r="H1325" s="4" t="n"/>
      <c r="I1325" s="9">
        <f>IF($H1325="","",IFERROR(INDEX('Settings'!$J$10:$J$39,MATCH($H1325,'Settings'!$I$10:$I$39,0)),""))</f>
        <v/>
      </c>
      <c r="J1325" s="6" t="n"/>
      <c r="K1325" s="8" t="n"/>
      <c r="L1325" s="8" t="n"/>
      <c r="M1325" s="14">
        <f>IF($A1325="","",$J1325*$K1325)</f>
        <v/>
      </c>
      <c r="N1325" s="14">
        <f>IF($A1325="","",$M1325-$L1325)</f>
        <v/>
      </c>
      <c r="O1325" s="4" t="n"/>
      <c r="P1325" s="15">
        <f>IF($A1325="","",DATE(YEAR($A1325),MONTH($A1325),1))</f>
        <v/>
      </c>
      <c r="Q1325" s="16">
        <f>IF($H1325="","",$J1325*IFERROR(INDEX('Settings'!$L$10:$L$39,MATCH($H1325,'Settings'!$I$10:$I$39,0)),0))</f>
        <v/>
      </c>
      <c r="R1325" s="17">
        <f>IF($A1325="","",$A1325-WEEKDAY($A1325,2)+1)</f>
        <v/>
      </c>
    </row>
    <row r="1326">
      <c r="A1326" s="5" t="n"/>
      <c r="B1326" s="4" t="n"/>
      <c r="C1326" s="4" t="n"/>
      <c r="D1326" s="4" t="n"/>
      <c r="E1326" s="4" t="n"/>
      <c r="F1326" s="4" t="n"/>
      <c r="G1326" s="4" t="n"/>
      <c r="H1326" s="4" t="n"/>
      <c r="I1326" s="9">
        <f>IF($H1326="","",IFERROR(INDEX('Settings'!$J$10:$J$39,MATCH($H1326,'Settings'!$I$10:$I$39,0)),""))</f>
        <v/>
      </c>
      <c r="J1326" s="6" t="n"/>
      <c r="K1326" s="8" t="n"/>
      <c r="L1326" s="8" t="n"/>
      <c r="M1326" s="14">
        <f>IF($A1326="","",$J1326*$K1326)</f>
        <v/>
      </c>
      <c r="N1326" s="14">
        <f>IF($A1326="","",$M1326-$L1326)</f>
        <v/>
      </c>
      <c r="O1326" s="4" t="n"/>
      <c r="P1326" s="15">
        <f>IF($A1326="","",DATE(YEAR($A1326),MONTH($A1326),1))</f>
        <v/>
      </c>
      <c r="Q1326" s="16">
        <f>IF($H1326="","",$J1326*IFERROR(INDEX('Settings'!$L$10:$L$39,MATCH($H1326,'Settings'!$I$10:$I$39,0)),0))</f>
        <v/>
      </c>
      <c r="R1326" s="17">
        <f>IF($A1326="","",$A1326-WEEKDAY($A1326,2)+1)</f>
        <v/>
      </c>
    </row>
    <row r="1327">
      <c r="A1327" s="5" t="n"/>
      <c r="B1327" s="4" t="n"/>
      <c r="C1327" s="4" t="n"/>
      <c r="D1327" s="4" t="n"/>
      <c r="E1327" s="4" t="n"/>
      <c r="F1327" s="4" t="n"/>
      <c r="G1327" s="4" t="n"/>
      <c r="H1327" s="4" t="n"/>
      <c r="I1327" s="9">
        <f>IF($H1327="","",IFERROR(INDEX('Settings'!$J$10:$J$39,MATCH($H1327,'Settings'!$I$10:$I$39,0)),""))</f>
        <v/>
      </c>
      <c r="J1327" s="6" t="n"/>
      <c r="K1327" s="8" t="n"/>
      <c r="L1327" s="8" t="n"/>
      <c r="M1327" s="14">
        <f>IF($A1327="","",$J1327*$K1327)</f>
        <v/>
      </c>
      <c r="N1327" s="14">
        <f>IF($A1327="","",$M1327-$L1327)</f>
        <v/>
      </c>
      <c r="O1327" s="4" t="n"/>
      <c r="P1327" s="15">
        <f>IF($A1327="","",DATE(YEAR($A1327),MONTH($A1327),1))</f>
        <v/>
      </c>
      <c r="Q1327" s="16">
        <f>IF($H1327="","",$J1327*IFERROR(INDEX('Settings'!$L$10:$L$39,MATCH($H1327,'Settings'!$I$10:$I$39,0)),0))</f>
        <v/>
      </c>
      <c r="R1327" s="17">
        <f>IF($A1327="","",$A1327-WEEKDAY($A1327,2)+1)</f>
        <v/>
      </c>
    </row>
    <row r="1328">
      <c r="A1328" s="5" t="n"/>
      <c r="B1328" s="4" t="n"/>
      <c r="C1328" s="4" t="n"/>
      <c r="D1328" s="4" t="n"/>
      <c r="E1328" s="4" t="n"/>
      <c r="F1328" s="4" t="n"/>
      <c r="G1328" s="4" t="n"/>
      <c r="H1328" s="4" t="n"/>
      <c r="I1328" s="9">
        <f>IF($H1328="","",IFERROR(INDEX('Settings'!$J$10:$J$39,MATCH($H1328,'Settings'!$I$10:$I$39,0)),""))</f>
        <v/>
      </c>
      <c r="J1328" s="6" t="n"/>
      <c r="K1328" s="8" t="n"/>
      <c r="L1328" s="8" t="n"/>
      <c r="M1328" s="14">
        <f>IF($A1328="","",$J1328*$K1328)</f>
        <v/>
      </c>
      <c r="N1328" s="14">
        <f>IF($A1328="","",$M1328-$L1328)</f>
        <v/>
      </c>
      <c r="O1328" s="4" t="n"/>
      <c r="P1328" s="15">
        <f>IF($A1328="","",DATE(YEAR($A1328),MONTH($A1328),1))</f>
        <v/>
      </c>
      <c r="Q1328" s="16">
        <f>IF($H1328="","",$J1328*IFERROR(INDEX('Settings'!$L$10:$L$39,MATCH($H1328,'Settings'!$I$10:$I$39,0)),0))</f>
        <v/>
      </c>
      <c r="R1328" s="17">
        <f>IF($A1328="","",$A1328-WEEKDAY($A1328,2)+1)</f>
        <v/>
      </c>
    </row>
    <row r="1329">
      <c r="A1329" s="5" t="n"/>
      <c r="B1329" s="4" t="n"/>
      <c r="C1329" s="4" t="n"/>
      <c r="D1329" s="4" t="n"/>
      <c r="E1329" s="4" t="n"/>
      <c r="F1329" s="4" t="n"/>
      <c r="G1329" s="4" t="n"/>
      <c r="H1329" s="4" t="n"/>
      <c r="I1329" s="9">
        <f>IF($H1329="","",IFERROR(INDEX('Settings'!$J$10:$J$39,MATCH($H1329,'Settings'!$I$10:$I$39,0)),""))</f>
        <v/>
      </c>
      <c r="J1329" s="6" t="n"/>
      <c r="K1329" s="8" t="n"/>
      <c r="L1329" s="8" t="n"/>
      <c r="M1329" s="14">
        <f>IF($A1329="","",$J1329*$K1329)</f>
        <v/>
      </c>
      <c r="N1329" s="14">
        <f>IF($A1329="","",$M1329-$L1329)</f>
        <v/>
      </c>
      <c r="O1329" s="4" t="n"/>
      <c r="P1329" s="15">
        <f>IF($A1329="","",DATE(YEAR($A1329),MONTH($A1329),1))</f>
        <v/>
      </c>
      <c r="Q1329" s="16">
        <f>IF($H1329="","",$J1329*IFERROR(INDEX('Settings'!$L$10:$L$39,MATCH($H1329,'Settings'!$I$10:$I$39,0)),0))</f>
        <v/>
      </c>
      <c r="R1329" s="17">
        <f>IF($A1329="","",$A1329-WEEKDAY($A1329,2)+1)</f>
        <v/>
      </c>
    </row>
    <row r="1330">
      <c r="A1330" s="5" t="n"/>
      <c r="B1330" s="4" t="n"/>
      <c r="C1330" s="4" t="n"/>
      <c r="D1330" s="4" t="n"/>
      <c r="E1330" s="4" t="n"/>
      <c r="F1330" s="4" t="n"/>
      <c r="G1330" s="4" t="n"/>
      <c r="H1330" s="4" t="n"/>
      <c r="I1330" s="9">
        <f>IF($H1330="","",IFERROR(INDEX('Settings'!$J$10:$J$39,MATCH($H1330,'Settings'!$I$10:$I$39,0)),""))</f>
        <v/>
      </c>
      <c r="J1330" s="6" t="n"/>
      <c r="K1330" s="8" t="n"/>
      <c r="L1330" s="8" t="n"/>
      <c r="M1330" s="14">
        <f>IF($A1330="","",$J1330*$K1330)</f>
        <v/>
      </c>
      <c r="N1330" s="14">
        <f>IF($A1330="","",$M1330-$L1330)</f>
        <v/>
      </c>
      <c r="O1330" s="4" t="n"/>
      <c r="P1330" s="15">
        <f>IF($A1330="","",DATE(YEAR($A1330),MONTH($A1330),1))</f>
        <v/>
      </c>
      <c r="Q1330" s="16">
        <f>IF($H1330="","",$J1330*IFERROR(INDEX('Settings'!$L$10:$L$39,MATCH($H1330,'Settings'!$I$10:$I$39,0)),0))</f>
        <v/>
      </c>
      <c r="R1330" s="17">
        <f>IF($A1330="","",$A1330-WEEKDAY($A1330,2)+1)</f>
        <v/>
      </c>
    </row>
    <row r="1331">
      <c r="A1331" s="5" t="n"/>
      <c r="B1331" s="4" t="n"/>
      <c r="C1331" s="4" t="n"/>
      <c r="D1331" s="4" t="n"/>
      <c r="E1331" s="4" t="n"/>
      <c r="F1331" s="4" t="n"/>
      <c r="G1331" s="4" t="n"/>
      <c r="H1331" s="4" t="n"/>
      <c r="I1331" s="9">
        <f>IF($H1331="","",IFERROR(INDEX('Settings'!$J$10:$J$39,MATCH($H1331,'Settings'!$I$10:$I$39,0)),""))</f>
        <v/>
      </c>
      <c r="J1331" s="6" t="n"/>
      <c r="K1331" s="8" t="n"/>
      <c r="L1331" s="8" t="n"/>
      <c r="M1331" s="14">
        <f>IF($A1331="","",$J1331*$K1331)</f>
        <v/>
      </c>
      <c r="N1331" s="14">
        <f>IF($A1331="","",$M1331-$L1331)</f>
        <v/>
      </c>
      <c r="O1331" s="4" t="n"/>
      <c r="P1331" s="15">
        <f>IF($A1331="","",DATE(YEAR($A1331),MONTH($A1331),1))</f>
        <v/>
      </c>
      <c r="Q1331" s="16">
        <f>IF($H1331="","",$J1331*IFERROR(INDEX('Settings'!$L$10:$L$39,MATCH($H1331,'Settings'!$I$10:$I$39,0)),0))</f>
        <v/>
      </c>
      <c r="R1331" s="17">
        <f>IF($A1331="","",$A1331-WEEKDAY($A1331,2)+1)</f>
        <v/>
      </c>
    </row>
    <row r="1332">
      <c r="A1332" s="5" t="n"/>
      <c r="B1332" s="4" t="n"/>
      <c r="C1332" s="4" t="n"/>
      <c r="D1332" s="4" t="n"/>
      <c r="E1332" s="4" t="n"/>
      <c r="F1332" s="4" t="n"/>
      <c r="G1332" s="4" t="n"/>
      <c r="H1332" s="4" t="n"/>
      <c r="I1332" s="9">
        <f>IF($H1332="","",IFERROR(INDEX('Settings'!$J$10:$J$39,MATCH($H1332,'Settings'!$I$10:$I$39,0)),""))</f>
        <v/>
      </c>
      <c r="J1332" s="6" t="n"/>
      <c r="K1332" s="8" t="n"/>
      <c r="L1332" s="8" t="n"/>
      <c r="M1332" s="14">
        <f>IF($A1332="","",$J1332*$K1332)</f>
        <v/>
      </c>
      <c r="N1332" s="14">
        <f>IF($A1332="","",$M1332-$L1332)</f>
        <v/>
      </c>
      <c r="O1332" s="4" t="n"/>
      <c r="P1332" s="15">
        <f>IF($A1332="","",DATE(YEAR($A1332),MONTH($A1332),1))</f>
        <v/>
      </c>
      <c r="Q1332" s="16">
        <f>IF($H1332="","",$J1332*IFERROR(INDEX('Settings'!$L$10:$L$39,MATCH($H1332,'Settings'!$I$10:$I$39,0)),0))</f>
        <v/>
      </c>
      <c r="R1332" s="17">
        <f>IF($A1332="","",$A1332-WEEKDAY($A1332,2)+1)</f>
        <v/>
      </c>
    </row>
    <row r="1333">
      <c r="A1333" s="5" t="n"/>
      <c r="B1333" s="4" t="n"/>
      <c r="C1333" s="4" t="n"/>
      <c r="D1333" s="4" t="n"/>
      <c r="E1333" s="4" t="n"/>
      <c r="F1333" s="4" t="n"/>
      <c r="G1333" s="4" t="n"/>
      <c r="H1333" s="4" t="n"/>
      <c r="I1333" s="9">
        <f>IF($H1333="","",IFERROR(INDEX('Settings'!$J$10:$J$39,MATCH($H1333,'Settings'!$I$10:$I$39,0)),""))</f>
        <v/>
      </c>
      <c r="J1333" s="6" t="n"/>
      <c r="K1333" s="8" t="n"/>
      <c r="L1333" s="8" t="n"/>
      <c r="M1333" s="14">
        <f>IF($A1333="","",$J1333*$K1333)</f>
        <v/>
      </c>
      <c r="N1333" s="14">
        <f>IF($A1333="","",$M1333-$L1333)</f>
        <v/>
      </c>
      <c r="O1333" s="4" t="n"/>
      <c r="P1333" s="15">
        <f>IF($A1333="","",DATE(YEAR($A1333),MONTH($A1333),1))</f>
        <v/>
      </c>
      <c r="Q1333" s="16">
        <f>IF($H1333="","",$J1333*IFERROR(INDEX('Settings'!$L$10:$L$39,MATCH($H1333,'Settings'!$I$10:$I$39,0)),0))</f>
        <v/>
      </c>
      <c r="R1333" s="17">
        <f>IF($A1333="","",$A1333-WEEKDAY($A1333,2)+1)</f>
        <v/>
      </c>
    </row>
    <row r="1334">
      <c r="A1334" s="5" t="n"/>
      <c r="B1334" s="4" t="n"/>
      <c r="C1334" s="4" t="n"/>
      <c r="D1334" s="4" t="n"/>
      <c r="E1334" s="4" t="n"/>
      <c r="F1334" s="4" t="n"/>
      <c r="G1334" s="4" t="n"/>
      <c r="H1334" s="4" t="n"/>
      <c r="I1334" s="9">
        <f>IF($H1334="","",IFERROR(INDEX('Settings'!$J$10:$J$39,MATCH($H1334,'Settings'!$I$10:$I$39,0)),""))</f>
        <v/>
      </c>
      <c r="J1334" s="6" t="n"/>
      <c r="K1334" s="8" t="n"/>
      <c r="L1334" s="8" t="n"/>
      <c r="M1334" s="14">
        <f>IF($A1334="","",$J1334*$K1334)</f>
        <v/>
      </c>
      <c r="N1334" s="14">
        <f>IF($A1334="","",$M1334-$L1334)</f>
        <v/>
      </c>
      <c r="O1334" s="4" t="n"/>
      <c r="P1334" s="15">
        <f>IF($A1334="","",DATE(YEAR($A1334),MONTH($A1334),1))</f>
        <v/>
      </c>
      <c r="Q1334" s="16">
        <f>IF($H1334="","",$J1334*IFERROR(INDEX('Settings'!$L$10:$L$39,MATCH($H1334,'Settings'!$I$10:$I$39,0)),0))</f>
        <v/>
      </c>
      <c r="R1334" s="17">
        <f>IF($A1334="","",$A1334-WEEKDAY($A1334,2)+1)</f>
        <v/>
      </c>
    </row>
    <row r="1335">
      <c r="A1335" s="5" t="n"/>
      <c r="B1335" s="4" t="n"/>
      <c r="C1335" s="4" t="n"/>
      <c r="D1335" s="4" t="n"/>
      <c r="E1335" s="4" t="n"/>
      <c r="F1335" s="4" t="n"/>
      <c r="G1335" s="4" t="n"/>
      <c r="H1335" s="4" t="n"/>
      <c r="I1335" s="9">
        <f>IF($H1335="","",IFERROR(INDEX('Settings'!$J$10:$J$39,MATCH($H1335,'Settings'!$I$10:$I$39,0)),""))</f>
        <v/>
      </c>
      <c r="J1335" s="6" t="n"/>
      <c r="K1335" s="8" t="n"/>
      <c r="L1335" s="8" t="n"/>
      <c r="M1335" s="14">
        <f>IF($A1335="","",$J1335*$K1335)</f>
        <v/>
      </c>
      <c r="N1335" s="14">
        <f>IF($A1335="","",$M1335-$L1335)</f>
        <v/>
      </c>
      <c r="O1335" s="4" t="n"/>
      <c r="P1335" s="15">
        <f>IF($A1335="","",DATE(YEAR($A1335),MONTH($A1335),1))</f>
        <v/>
      </c>
      <c r="Q1335" s="16">
        <f>IF($H1335="","",$J1335*IFERROR(INDEX('Settings'!$L$10:$L$39,MATCH($H1335,'Settings'!$I$10:$I$39,0)),0))</f>
        <v/>
      </c>
      <c r="R1335" s="17">
        <f>IF($A1335="","",$A1335-WEEKDAY($A1335,2)+1)</f>
        <v/>
      </c>
    </row>
    <row r="1336">
      <c r="A1336" s="5" t="n"/>
      <c r="B1336" s="4" t="n"/>
      <c r="C1336" s="4" t="n"/>
      <c r="D1336" s="4" t="n"/>
      <c r="E1336" s="4" t="n"/>
      <c r="F1336" s="4" t="n"/>
      <c r="G1336" s="4" t="n"/>
      <c r="H1336" s="4" t="n"/>
      <c r="I1336" s="9">
        <f>IF($H1336="","",IFERROR(INDEX('Settings'!$J$10:$J$39,MATCH($H1336,'Settings'!$I$10:$I$39,0)),""))</f>
        <v/>
      </c>
      <c r="J1336" s="6" t="n"/>
      <c r="K1336" s="8" t="n"/>
      <c r="L1336" s="8" t="n"/>
      <c r="M1336" s="14">
        <f>IF($A1336="","",$J1336*$K1336)</f>
        <v/>
      </c>
      <c r="N1336" s="14">
        <f>IF($A1336="","",$M1336-$L1336)</f>
        <v/>
      </c>
      <c r="O1336" s="4" t="n"/>
      <c r="P1336" s="15">
        <f>IF($A1336="","",DATE(YEAR($A1336),MONTH($A1336),1))</f>
        <v/>
      </c>
      <c r="Q1336" s="16">
        <f>IF($H1336="","",$J1336*IFERROR(INDEX('Settings'!$L$10:$L$39,MATCH($H1336,'Settings'!$I$10:$I$39,0)),0))</f>
        <v/>
      </c>
      <c r="R1336" s="17">
        <f>IF($A1336="","",$A1336-WEEKDAY($A1336,2)+1)</f>
        <v/>
      </c>
    </row>
    <row r="1337">
      <c r="A1337" s="5" t="n"/>
      <c r="B1337" s="4" t="n"/>
      <c r="C1337" s="4" t="n"/>
      <c r="D1337" s="4" t="n"/>
      <c r="E1337" s="4" t="n"/>
      <c r="F1337" s="4" t="n"/>
      <c r="G1337" s="4" t="n"/>
      <c r="H1337" s="4" t="n"/>
      <c r="I1337" s="9">
        <f>IF($H1337="","",IFERROR(INDEX('Settings'!$J$10:$J$39,MATCH($H1337,'Settings'!$I$10:$I$39,0)),""))</f>
        <v/>
      </c>
      <c r="J1337" s="6" t="n"/>
      <c r="K1337" s="8" t="n"/>
      <c r="L1337" s="8" t="n"/>
      <c r="M1337" s="14">
        <f>IF($A1337="","",$J1337*$K1337)</f>
        <v/>
      </c>
      <c r="N1337" s="14">
        <f>IF($A1337="","",$M1337-$L1337)</f>
        <v/>
      </c>
      <c r="O1337" s="4" t="n"/>
      <c r="P1337" s="15">
        <f>IF($A1337="","",DATE(YEAR($A1337),MONTH($A1337),1))</f>
        <v/>
      </c>
      <c r="Q1337" s="16">
        <f>IF($H1337="","",$J1337*IFERROR(INDEX('Settings'!$L$10:$L$39,MATCH($H1337,'Settings'!$I$10:$I$39,0)),0))</f>
        <v/>
      </c>
      <c r="R1337" s="17">
        <f>IF($A1337="","",$A1337-WEEKDAY($A1337,2)+1)</f>
        <v/>
      </c>
    </row>
    <row r="1338">
      <c r="A1338" s="5" t="n"/>
      <c r="B1338" s="4" t="n"/>
      <c r="C1338" s="4" t="n"/>
      <c r="D1338" s="4" t="n"/>
      <c r="E1338" s="4" t="n"/>
      <c r="F1338" s="4" t="n"/>
      <c r="G1338" s="4" t="n"/>
      <c r="H1338" s="4" t="n"/>
      <c r="I1338" s="9">
        <f>IF($H1338="","",IFERROR(INDEX('Settings'!$J$10:$J$39,MATCH($H1338,'Settings'!$I$10:$I$39,0)),""))</f>
        <v/>
      </c>
      <c r="J1338" s="6" t="n"/>
      <c r="K1338" s="8" t="n"/>
      <c r="L1338" s="8" t="n"/>
      <c r="M1338" s="14">
        <f>IF($A1338="","",$J1338*$K1338)</f>
        <v/>
      </c>
      <c r="N1338" s="14">
        <f>IF($A1338="","",$M1338-$L1338)</f>
        <v/>
      </c>
      <c r="O1338" s="4" t="n"/>
      <c r="P1338" s="15">
        <f>IF($A1338="","",DATE(YEAR($A1338),MONTH($A1338),1))</f>
        <v/>
      </c>
      <c r="Q1338" s="16">
        <f>IF($H1338="","",$J1338*IFERROR(INDEX('Settings'!$L$10:$L$39,MATCH($H1338,'Settings'!$I$10:$I$39,0)),0))</f>
        <v/>
      </c>
      <c r="R1338" s="17">
        <f>IF($A1338="","",$A1338-WEEKDAY($A1338,2)+1)</f>
        <v/>
      </c>
    </row>
    <row r="1339">
      <c r="A1339" s="5" t="n"/>
      <c r="B1339" s="4" t="n"/>
      <c r="C1339" s="4" t="n"/>
      <c r="D1339" s="4" t="n"/>
      <c r="E1339" s="4" t="n"/>
      <c r="F1339" s="4" t="n"/>
      <c r="G1339" s="4" t="n"/>
      <c r="H1339" s="4" t="n"/>
      <c r="I1339" s="9">
        <f>IF($H1339="","",IFERROR(INDEX('Settings'!$J$10:$J$39,MATCH($H1339,'Settings'!$I$10:$I$39,0)),""))</f>
        <v/>
      </c>
      <c r="J1339" s="6" t="n"/>
      <c r="K1339" s="8" t="n"/>
      <c r="L1339" s="8" t="n"/>
      <c r="M1339" s="14">
        <f>IF($A1339="","",$J1339*$K1339)</f>
        <v/>
      </c>
      <c r="N1339" s="14">
        <f>IF($A1339="","",$M1339-$L1339)</f>
        <v/>
      </c>
      <c r="O1339" s="4" t="n"/>
      <c r="P1339" s="15">
        <f>IF($A1339="","",DATE(YEAR($A1339),MONTH($A1339),1))</f>
        <v/>
      </c>
      <c r="Q1339" s="16">
        <f>IF($H1339="","",$J1339*IFERROR(INDEX('Settings'!$L$10:$L$39,MATCH($H1339,'Settings'!$I$10:$I$39,0)),0))</f>
        <v/>
      </c>
      <c r="R1339" s="17">
        <f>IF($A1339="","",$A1339-WEEKDAY($A1339,2)+1)</f>
        <v/>
      </c>
    </row>
    <row r="1340">
      <c r="A1340" s="5" t="n"/>
      <c r="B1340" s="4" t="n"/>
      <c r="C1340" s="4" t="n"/>
      <c r="D1340" s="4" t="n"/>
      <c r="E1340" s="4" t="n"/>
      <c r="F1340" s="4" t="n"/>
      <c r="G1340" s="4" t="n"/>
      <c r="H1340" s="4" t="n"/>
      <c r="I1340" s="9">
        <f>IF($H1340="","",IFERROR(INDEX('Settings'!$J$10:$J$39,MATCH($H1340,'Settings'!$I$10:$I$39,0)),""))</f>
        <v/>
      </c>
      <c r="J1340" s="6" t="n"/>
      <c r="K1340" s="8" t="n"/>
      <c r="L1340" s="8" t="n"/>
      <c r="M1340" s="14">
        <f>IF($A1340="","",$J1340*$K1340)</f>
        <v/>
      </c>
      <c r="N1340" s="14">
        <f>IF($A1340="","",$M1340-$L1340)</f>
        <v/>
      </c>
      <c r="O1340" s="4" t="n"/>
      <c r="P1340" s="15">
        <f>IF($A1340="","",DATE(YEAR($A1340),MONTH($A1340),1))</f>
        <v/>
      </c>
      <c r="Q1340" s="16">
        <f>IF($H1340="","",$J1340*IFERROR(INDEX('Settings'!$L$10:$L$39,MATCH($H1340,'Settings'!$I$10:$I$39,0)),0))</f>
        <v/>
      </c>
      <c r="R1340" s="17">
        <f>IF($A1340="","",$A1340-WEEKDAY($A1340,2)+1)</f>
        <v/>
      </c>
    </row>
    <row r="1341">
      <c r="A1341" s="5" t="n"/>
      <c r="B1341" s="4" t="n"/>
      <c r="C1341" s="4" t="n"/>
      <c r="D1341" s="4" t="n"/>
      <c r="E1341" s="4" t="n"/>
      <c r="F1341" s="4" t="n"/>
      <c r="G1341" s="4" t="n"/>
      <c r="H1341" s="4" t="n"/>
      <c r="I1341" s="9">
        <f>IF($H1341="","",IFERROR(INDEX('Settings'!$J$10:$J$39,MATCH($H1341,'Settings'!$I$10:$I$39,0)),""))</f>
        <v/>
      </c>
      <c r="J1341" s="6" t="n"/>
      <c r="K1341" s="8" t="n"/>
      <c r="L1341" s="8" t="n"/>
      <c r="M1341" s="14">
        <f>IF($A1341="","",$J1341*$K1341)</f>
        <v/>
      </c>
      <c r="N1341" s="14">
        <f>IF($A1341="","",$M1341-$L1341)</f>
        <v/>
      </c>
      <c r="O1341" s="4" t="n"/>
      <c r="P1341" s="15">
        <f>IF($A1341="","",DATE(YEAR($A1341),MONTH($A1341),1))</f>
        <v/>
      </c>
      <c r="Q1341" s="16">
        <f>IF($H1341="","",$J1341*IFERROR(INDEX('Settings'!$L$10:$L$39,MATCH($H1341,'Settings'!$I$10:$I$39,0)),0))</f>
        <v/>
      </c>
      <c r="R1341" s="17">
        <f>IF($A1341="","",$A1341-WEEKDAY($A1341,2)+1)</f>
        <v/>
      </c>
    </row>
    <row r="1342">
      <c r="A1342" s="5" t="n"/>
      <c r="B1342" s="4" t="n"/>
      <c r="C1342" s="4" t="n"/>
      <c r="D1342" s="4" t="n"/>
      <c r="E1342" s="4" t="n"/>
      <c r="F1342" s="4" t="n"/>
      <c r="G1342" s="4" t="n"/>
      <c r="H1342" s="4" t="n"/>
      <c r="I1342" s="9">
        <f>IF($H1342="","",IFERROR(INDEX('Settings'!$J$10:$J$39,MATCH($H1342,'Settings'!$I$10:$I$39,0)),""))</f>
        <v/>
      </c>
      <c r="J1342" s="6" t="n"/>
      <c r="K1342" s="8" t="n"/>
      <c r="L1342" s="8" t="n"/>
      <c r="M1342" s="14">
        <f>IF($A1342="","",$J1342*$K1342)</f>
        <v/>
      </c>
      <c r="N1342" s="14">
        <f>IF($A1342="","",$M1342-$L1342)</f>
        <v/>
      </c>
      <c r="O1342" s="4" t="n"/>
      <c r="P1342" s="15">
        <f>IF($A1342="","",DATE(YEAR($A1342),MONTH($A1342),1))</f>
        <v/>
      </c>
      <c r="Q1342" s="16">
        <f>IF($H1342="","",$J1342*IFERROR(INDEX('Settings'!$L$10:$L$39,MATCH($H1342,'Settings'!$I$10:$I$39,0)),0))</f>
        <v/>
      </c>
      <c r="R1342" s="17">
        <f>IF($A1342="","",$A1342-WEEKDAY($A1342,2)+1)</f>
        <v/>
      </c>
    </row>
    <row r="1343">
      <c r="A1343" s="5" t="n"/>
      <c r="B1343" s="4" t="n"/>
      <c r="C1343" s="4" t="n"/>
      <c r="D1343" s="4" t="n"/>
      <c r="E1343" s="4" t="n"/>
      <c r="F1343" s="4" t="n"/>
      <c r="G1343" s="4" t="n"/>
      <c r="H1343" s="4" t="n"/>
      <c r="I1343" s="9">
        <f>IF($H1343="","",IFERROR(INDEX('Settings'!$J$10:$J$39,MATCH($H1343,'Settings'!$I$10:$I$39,0)),""))</f>
        <v/>
      </c>
      <c r="J1343" s="6" t="n"/>
      <c r="K1343" s="8" t="n"/>
      <c r="L1343" s="8" t="n"/>
      <c r="M1343" s="14">
        <f>IF($A1343="","",$J1343*$K1343)</f>
        <v/>
      </c>
      <c r="N1343" s="14">
        <f>IF($A1343="","",$M1343-$L1343)</f>
        <v/>
      </c>
      <c r="O1343" s="4" t="n"/>
      <c r="P1343" s="15">
        <f>IF($A1343="","",DATE(YEAR($A1343),MONTH($A1343),1))</f>
        <v/>
      </c>
      <c r="Q1343" s="16">
        <f>IF($H1343="","",$J1343*IFERROR(INDEX('Settings'!$L$10:$L$39,MATCH($H1343,'Settings'!$I$10:$I$39,0)),0))</f>
        <v/>
      </c>
      <c r="R1343" s="17">
        <f>IF($A1343="","",$A1343-WEEKDAY($A1343,2)+1)</f>
        <v/>
      </c>
    </row>
    <row r="1344">
      <c r="A1344" s="5" t="n"/>
      <c r="B1344" s="4" t="n"/>
      <c r="C1344" s="4" t="n"/>
      <c r="D1344" s="4" t="n"/>
      <c r="E1344" s="4" t="n"/>
      <c r="F1344" s="4" t="n"/>
      <c r="G1344" s="4" t="n"/>
      <c r="H1344" s="4" t="n"/>
      <c r="I1344" s="9">
        <f>IF($H1344="","",IFERROR(INDEX('Settings'!$J$10:$J$39,MATCH($H1344,'Settings'!$I$10:$I$39,0)),""))</f>
        <v/>
      </c>
      <c r="J1344" s="6" t="n"/>
      <c r="K1344" s="8" t="n"/>
      <c r="L1344" s="8" t="n"/>
      <c r="M1344" s="14">
        <f>IF($A1344="","",$J1344*$K1344)</f>
        <v/>
      </c>
      <c r="N1344" s="14">
        <f>IF($A1344="","",$M1344-$L1344)</f>
        <v/>
      </c>
      <c r="O1344" s="4" t="n"/>
      <c r="P1344" s="15">
        <f>IF($A1344="","",DATE(YEAR($A1344),MONTH($A1344),1))</f>
        <v/>
      </c>
      <c r="Q1344" s="16">
        <f>IF($H1344="","",$J1344*IFERROR(INDEX('Settings'!$L$10:$L$39,MATCH($H1344,'Settings'!$I$10:$I$39,0)),0))</f>
        <v/>
      </c>
      <c r="R1344" s="17">
        <f>IF($A1344="","",$A1344-WEEKDAY($A1344,2)+1)</f>
        <v/>
      </c>
    </row>
    <row r="1345">
      <c r="A1345" s="5" t="n"/>
      <c r="B1345" s="4" t="n"/>
      <c r="C1345" s="4" t="n"/>
      <c r="D1345" s="4" t="n"/>
      <c r="E1345" s="4" t="n"/>
      <c r="F1345" s="4" t="n"/>
      <c r="G1345" s="4" t="n"/>
      <c r="H1345" s="4" t="n"/>
      <c r="I1345" s="9">
        <f>IF($H1345="","",IFERROR(INDEX('Settings'!$J$10:$J$39,MATCH($H1345,'Settings'!$I$10:$I$39,0)),""))</f>
        <v/>
      </c>
      <c r="J1345" s="6" t="n"/>
      <c r="K1345" s="8" t="n"/>
      <c r="L1345" s="8" t="n"/>
      <c r="M1345" s="14">
        <f>IF($A1345="","",$J1345*$K1345)</f>
        <v/>
      </c>
      <c r="N1345" s="14">
        <f>IF($A1345="","",$M1345-$L1345)</f>
        <v/>
      </c>
      <c r="O1345" s="4" t="n"/>
      <c r="P1345" s="15">
        <f>IF($A1345="","",DATE(YEAR($A1345),MONTH($A1345),1))</f>
        <v/>
      </c>
      <c r="Q1345" s="16">
        <f>IF($H1345="","",$J1345*IFERROR(INDEX('Settings'!$L$10:$L$39,MATCH($H1345,'Settings'!$I$10:$I$39,0)),0))</f>
        <v/>
      </c>
      <c r="R1345" s="17">
        <f>IF($A1345="","",$A1345-WEEKDAY($A1345,2)+1)</f>
        <v/>
      </c>
    </row>
    <row r="1346">
      <c r="A1346" s="5" t="n"/>
      <c r="B1346" s="4" t="n"/>
      <c r="C1346" s="4" t="n"/>
      <c r="D1346" s="4" t="n"/>
      <c r="E1346" s="4" t="n"/>
      <c r="F1346" s="4" t="n"/>
      <c r="G1346" s="4" t="n"/>
      <c r="H1346" s="4" t="n"/>
      <c r="I1346" s="9">
        <f>IF($H1346="","",IFERROR(INDEX('Settings'!$J$10:$J$39,MATCH($H1346,'Settings'!$I$10:$I$39,0)),""))</f>
        <v/>
      </c>
      <c r="J1346" s="6" t="n"/>
      <c r="K1346" s="8" t="n"/>
      <c r="L1346" s="8" t="n"/>
      <c r="M1346" s="14">
        <f>IF($A1346="","",$J1346*$K1346)</f>
        <v/>
      </c>
      <c r="N1346" s="14">
        <f>IF($A1346="","",$M1346-$L1346)</f>
        <v/>
      </c>
      <c r="O1346" s="4" t="n"/>
      <c r="P1346" s="15">
        <f>IF($A1346="","",DATE(YEAR($A1346),MONTH($A1346),1))</f>
        <v/>
      </c>
      <c r="Q1346" s="16">
        <f>IF($H1346="","",$J1346*IFERROR(INDEX('Settings'!$L$10:$L$39,MATCH($H1346,'Settings'!$I$10:$I$39,0)),0))</f>
        <v/>
      </c>
      <c r="R1346" s="17">
        <f>IF($A1346="","",$A1346-WEEKDAY($A1346,2)+1)</f>
        <v/>
      </c>
    </row>
    <row r="1347">
      <c r="A1347" s="5" t="n"/>
      <c r="B1347" s="4" t="n"/>
      <c r="C1347" s="4" t="n"/>
      <c r="D1347" s="4" t="n"/>
      <c r="E1347" s="4" t="n"/>
      <c r="F1347" s="4" t="n"/>
      <c r="G1347" s="4" t="n"/>
      <c r="H1347" s="4" t="n"/>
      <c r="I1347" s="9">
        <f>IF($H1347="","",IFERROR(INDEX('Settings'!$J$10:$J$39,MATCH($H1347,'Settings'!$I$10:$I$39,0)),""))</f>
        <v/>
      </c>
      <c r="J1347" s="6" t="n"/>
      <c r="K1347" s="8" t="n"/>
      <c r="L1347" s="8" t="n"/>
      <c r="M1347" s="14">
        <f>IF($A1347="","",$J1347*$K1347)</f>
        <v/>
      </c>
      <c r="N1347" s="14">
        <f>IF($A1347="","",$M1347-$L1347)</f>
        <v/>
      </c>
      <c r="O1347" s="4" t="n"/>
      <c r="P1347" s="15">
        <f>IF($A1347="","",DATE(YEAR($A1347),MONTH($A1347),1))</f>
        <v/>
      </c>
      <c r="Q1347" s="16">
        <f>IF($H1347="","",$J1347*IFERROR(INDEX('Settings'!$L$10:$L$39,MATCH($H1347,'Settings'!$I$10:$I$39,0)),0))</f>
        <v/>
      </c>
      <c r="R1347" s="17">
        <f>IF($A1347="","",$A1347-WEEKDAY($A1347,2)+1)</f>
        <v/>
      </c>
    </row>
    <row r="1348">
      <c r="A1348" s="5" t="n"/>
      <c r="B1348" s="4" t="n"/>
      <c r="C1348" s="4" t="n"/>
      <c r="D1348" s="4" t="n"/>
      <c r="E1348" s="4" t="n"/>
      <c r="F1348" s="4" t="n"/>
      <c r="G1348" s="4" t="n"/>
      <c r="H1348" s="4" t="n"/>
      <c r="I1348" s="9">
        <f>IF($H1348="","",IFERROR(INDEX('Settings'!$J$10:$J$39,MATCH($H1348,'Settings'!$I$10:$I$39,0)),""))</f>
        <v/>
      </c>
      <c r="J1348" s="6" t="n"/>
      <c r="K1348" s="8" t="n"/>
      <c r="L1348" s="8" t="n"/>
      <c r="M1348" s="14">
        <f>IF($A1348="","",$J1348*$K1348)</f>
        <v/>
      </c>
      <c r="N1348" s="14">
        <f>IF($A1348="","",$M1348-$L1348)</f>
        <v/>
      </c>
      <c r="O1348" s="4" t="n"/>
      <c r="P1348" s="15">
        <f>IF($A1348="","",DATE(YEAR($A1348),MONTH($A1348),1))</f>
        <v/>
      </c>
      <c r="Q1348" s="16">
        <f>IF($H1348="","",$J1348*IFERROR(INDEX('Settings'!$L$10:$L$39,MATCH($H1348,'Settings'!$I$10:$I$39,0)),0))</f>
        <v/>
      </c>
      <c r="R1348" s="17">
        <f>IF($A1348="","",$A1348-WEEKDAY($A1348,2)+1)</f>
        <v/>
      </c>
    </row>
    <row r="1349">
      <c r="A1349" s="5" t="n"/>
      <c r="B1349" s="4" t="n"/>
      <c r="C1349" s="4" t="n"/>
      <c r="D1349" s="4" t="n"/>
      <c r="E1349" s="4" t="n"/>
      <c r="F1349" s="4" t="n"/>
      <c r="G1349" s="4" t="n"/>
      <c r="H1349" s="4" t="n"/>
      <c r="I1349" s="9">
        <f>IF($H1349="","",IFERROR(INDEX('Settings'!$J$10:$J$39,MATCH($H1349,'Settings'!$I$10:$I$39,0)),""))</f>
        <v/>
      </c>
      <c r="J1349" s="6" t="n"/>
      <c r="K1349" s="8" t="n"/>
      <c r="L1349" s="8" t="n"/>
      <c r="M1349" s="14">
        <f>IF($A1349="","",$J1349*$K1349)</f>
        <v/>
      </c>
      <c r="N1349" s="14">
        <f>IF($A1349="","",$M1349-$L1349)</f>
        <v/>
      </c>
      <c r="O1349" s="4" t="n"/>
      <c r="P1349" s="15">
        <f>IF($A1349="","",DATE(YEAR($A1349),MONTH($A1349),1))</f>
        <v/>
      </c>
      <c r="Q1349" s="16">
        <f>IF($H1349="","",$J1349*IFERROR(INDEX('Settings'!$L$10:$L$39,MATCH($H1349,'Settings'!$I$10:$I$39,0)),0))</f>
        <v/>
      </c>
      <c r="R1349" s="17">
        <f>IF($A1349="","",$A1349-WEEKDAY($A1349,2)+1)</f>
        <v/>
      </c>
    </row>
    <row r="1350">
      <c r="A1350" s="5" t="n"/>
      <c r="B1350" s="4" t="n"/>
      <c r="C1350" s="4" t="n"/>
      <c r="D1350" s="4" t="n"/>
      <c r="E1350" s="4" t="n"/>
      <c r="F1350" s="4" t="n"/>
      <c r="G1350" s="4" t="n"/>
      <c r="H1350" s="4" t="n"/>
      <c r="I1350" s="9">
        <f>IF($H1350="","",IFERROR(INDEX('Settings'!$J$10:$J$39,MATCH($H1350,'Settings'!$I$10:$I$39,0)),""))</f>
        <v/>
      </c>
      <c r="J1350" s="6" t="n"/>
      <c r="K1350" s="8" t="n"/>
      <c r="L1350" s="8" t="n"/>
      <c r="M1350" s="14">
        <f>IF($A1350="","",$J1350*$K1350)</f>
        <v/>
      </c>
      <c r="N1350" s="14">
        <f>IF($A1350="","",$M1350-$L1350)</f>
        <v/>
      </c>
      <c r="O1350" s="4" t="n"/>
      <c r="P1350" s="15">
        <f>IF($A1350="","",DATE(YEAR($A1350),MONTH($A1350),1))</f>
        <v/>
      </c>
      <c r="Q1350" s="16">
        <f>IF($H1350="","",$J1350*IFERROR(INDEX('Settings'!$L$10:$L$39,MATCH($H1350,'Settings'!$I$10:$I$39,0)),0))</f>
        <v/>
      </c>
      <c r="R1350" s="17">
        <f>IF($A1350="","",$A1350-WEEKDAY($A1350,2)+1)</f>
        <v/>
      </c>
    </row>
    <row r="1351">
      <c r="A1351" s="5" t="n"/>
      <c r="B1351" s="4" t="n"/>
      <c r="C1351" s="4" t="n"/>
      <c r="D1351" s="4" t="n"/>
      <c r="E1351" s="4" t="n"/>
      <c r="F1351" s="4" t="n"/>
      <c r="G1351" s="4" t="n"/>
      <c r="H1351" s="4" t="n"/>
      <c r="I1351" s="9">
        <f>IF($H1351="","",IFERROR(INDEX('Settings'!$J$10:$J$39,MATCH($H1351,'Settings'!$I$10:$I$39,0)),""))</f>
        <v/>
      </c>
      <c r="J1351" s="6" t="n"/>
      <c r="K1351" s="8" t="n"/>
      <c r="L1351" s="8" t="n"/>
      <c r="M1351" s="14">
        <f>IF($A1351="","",$J1351*$K1351)</f>
        <v/>
      </c>
      <c r="N1351" s="14">
        <f>IF($A1351="","",$M1351-$L1351)</f>
        <v/>
      </c>
      <c r="O1351" s="4" t="n"/>
      <c r="P1351" s="15">
        <f>IF($A1351="","",DATE(YEAR($A1351),MONTH($A1351),1))</f>
        <v/>
      </c>
      <c r="Q1351" s="16">
        <f>IF($H1351="","",$J1351*IFERROR(INDEX('Settings'!$L$10:$L$39,MATCH($H1351,'Settings'!$I$10:$I$39,0)),0))</f>
        <v/>
      </c>
      <c r="R1351" s="17">
        <f>IF($A1351="","",$A1351-WEEKDAY($A1351,2)+1)</f>
        <v/>
      </c>
    </row>
    <row r="1352">
      <c r="A1352" s="5" t="n"/>
      <c r="B1352" s="4" t="n"/>
      <c r="C1352" s="4" t="n"/>
      <c r="D1352" s="4" t="n"/>
      <c r="E1352" s="4" t="n"/>
      <c r="F1352" s="4" t="n"/>
      <c r="G1352" s="4" t="n"/>
      <c r="H1352" s="4" t="n"/>
      <c r="I1352" s="9">
        <f>IF($H1352="","",IFERROR(INDEX('Settings'!$J$10:$J$39,MATCH($H1352,'Settings'!$I$10:$I$39,0)),""))</f>
        <v/>
      </c>
      <c r="J1352" s="6" t="n"/>
      <c r="K1352" s="8" t="n"/>
      <c r="L1352" s="8" t="n"/>
      <c r="M1352" s="14">
        <f>IF($A1352="","",$J1352*$K1352)</f>
        <v/>
      </c>
      <c r="N1352" s="14">
        <f>IF($A1352="","",$M1352-$L1352)</f>
        <v/>
      </c>
      <c r="O1352" s="4" t="n"/>
      <c r="P1352" s="15">
        <f>IF($A1352="","",DATE(YEAR($A1352),MONTH($A1352),1))</f>
        <v/>
      </c>
      <c r="Q1352" s="16">
        <f>IF($H1352="","",$J1352*IFERROR(INDEX('Settings'!$L$10:$L$39,MATCH($H1352,'Settings'!$I$10:$I$39,0)),0))</f>
        <v/>
      </c>
      <c r="R1352" s="17">
        <f>IF($A1352="","",$A1352-WEEKDAY($A1352,2)+1)</f>
        <v/>
      </c>
    </row>
    <row r="1353">
      <c r="A1353" s="5" t="n"/>
      <c r="B1353" s="4" t="n"/>
      <c r="C1353" s="4" t="n"/>
      <c r="D1353" s="4" t="n"/>
      <c r="E1353" s="4" t="n"/>
      <c r="F1353" s="4" t="n"/>
      <c r="G1353" s="4" t="n"/>
      <c r="H1353" s="4" t="n"/>
      <c r="I1353" s="9">
        <f>IF($H1353="","",IFERROR(INDEX('Settings'!$J$10:$J$39,MATCH($H1353,'Settings'!$I$10:$I$39,0)),""))</f>
        <v/>
      </c>
      <c r="J1353" s="6" t="n"/>
      <c r="K1353" s="8" t="n"/>
      <c r="L1353" s="8" t="n"/>
      <c r="M1353" s="14">
        <f>IF($A1353="","",$J1353*$K1353)</f>
        <v/>
      </c>
      <c r="N1353" s="14">
        <f>IF($A1353="","",$M1353-$L1353)</f>
        <v/>
      </c>
      <c r="O1353" s="4" t="n"/>
      <c r="P1353" s="15">
        <f>IF($A1353="","",DATE(YEAR($A1353),MONTH($A1353),1))</f>
        <v/>
      </c>
      <c r="Q1353" s="16">
        <f>IF($H1353="","",$J1353*IFERROR(INDEX('Settings'!$L$10:$L$39,MATCH($H1353,'Settings'!$I$10:$I$39,0)),0))</f>
        <v/>
      </c>
      <c r="R1353" s="17">
        <f>IF($A1353="","",$A1353-WEEKDAY($A1353,2)+1)</f>
        <v/>
      </c>
    </row>
    <row r="1354">
      <c r="A1354" s="5" t="n"/>
      <c r="B1354" s="4" t="n"/>
      <c r="C1354" s="4" t="n"/>
      <c r="D1354" s="4" t="n"/>
      <c r="E1354" s="4" t="n"/>
      <c r="F1354" s="4" t="n"/>
      <c r="G1354" s="4" t="n"/>
      <c r="H1354" s="4" t="n"/>
      <c r="I1354" s="9">
        <f>IF($H1354="","",IFERROR(INDEX('Settings'!$J$10:$J$39,MATCH($H1354,'Settings'!$I$10:$I$39,0)),""))</f>
        <v/>
      </c>
      <c r="J1354" s="6" t="n"/>
      <c r="K1354" s="8" t="n"/>
      <c r="L1354" s="8" t="n"/>
      <c r="M1354" s="14">
        <f>IF($A1354="","",$J1354*$K1354)</f>
        <v/>
      </c>
      <c r="N1354" s="14">
        <f>IF($A1354="","",$M1354-$L1354)</f>
        <v/>
      </c>
      <c r="O1354" s="4" t="n"/>
      <c r="P1354" s="15">
        <f>IF($A1354="","",DATE(YEAR($A1354),MONTH($A1354),1))</f>
        <v/>
      </c>
      <c r="Q1354" s="16">
        <f>IF($H1354="","",$J1354*IFERROR(INDEX('Settings'!$L$10:$L$39,MATCH($H1354,'Settings'!$I$10:$I$39,0)),0))</f>
        <v/>
      </c>
      <c r="R1354" s="17">
        <f>IF($A1354="","",$A1354-WEEKDAY($A1354,2)+1)</f>
        <v/>
      </c>
    </row>
    <row r="1355">
      <c r="A1355" s="5" t="n"/>
      <c r="B1355" s="4" t="n"/>
      <c r="C1355" s="4" t="n"/>
      <c r="D1355" s="4" t="n"/>
      <c r="E1355" s="4" t="n"/>
      <c r="F1355" s="4" t="n"/>
      <c r="G1355" s="4" t="n"/>
      <c r="H1355" s="4" t="n"/>
      <c r="I1355" s="9">
        <f>IF($H1355="","",IFERROR(INDEX('Settings'!$J$10:$J$39,MATCH($H1355,'Settings'!$I$10:$I$39,0)),""))</f>
        <v/>
      </c>
      <c r="J1355" s="6" t="n"/>
      <c r="K1355" s="8" t="n"/>
      <c r="L1355" s="8" t="n"/>
      <c r="M1355" s="14">
        <f>IF($A1355="","",$J1355*$K1355)</f>
        <v/>
      </c>
      <c r="N1355" s="14">
        <f>IF($A1355="","",$M1355-$L1355)</f>
        <v/>
      </c>
      <c r="O1355" s="4" t="n"/>
      <c r="P1355" s="15">
        <f>IF($A1355="","",DATE(YEAR($A1355),MONTH($A1355),1))</f>
        <v/>
      </c>
      <c r="Q1355" s="16">
        <f>IF($H1355="","",$J1355*IFERROR(INDEX('Settings'!$L$10:$L$39,MATCH($H1355,'Settings'!$I$10:$I$39,0)),0))</f>
        <v/>
      </c>
      <c r="R1355" s="17">
        <f>IF($A1355="","",$A1355-WEEKDAY($A1355,2)+1)</f>
        <v/>
      </c>
    </row>
    <row r="1356">
      <c r="A1356" s="5" t="n"/>
      <c r="B1356" s="4" t="n"/>
      <c r="C1356" s="4" t="n"/>
      <c r="D1356" s="4" t="n"/>
      <c r="E1356" s="4" t="n"/>
      <c r="F1356" s="4" t="n"/>
      <c r="G1356" s="4" t="n"/>
      <c r="H1356" s="4" t="n"/>
      <c r="I1356" s="9">
        <f>IF($H1356="","",IFERROR(INDEX('Settings'!$J$10:$J$39,MATCH($H1356,'Settings'!$I$10:$I$39,0)),""))</f>
        <v/>
      </c>
      <c r="J1356" s="6" t="n"/>
      <c r="K1356" s="8" t="n"/>
      <c r="L1356" s="8" t="n"/>
      <c r="M1356" s="14">
        <f>IF($A1356="","",$J1356*$K1356)</f>
        <v/>
      </c>
      <c r="N1356" s="14">
        <f>IF($A1356="","",$M1356-$L1356)</f>
        <v/>
      </c>
      <c r="O1356" s="4" t="n"/>
      <c r="P1356" s="15">
        <f>IF($A1356="","",DATE(YEAR($A1356),MONTH($A1356),1))</f>
        <v/>
      </c>
      <c r="Q1356" s="16">
        <f>IF($H1356="","",$J1356*IFERROR(INDEX('Settings'!$L$10:$L$39,MATCH($H1356,'Settings'!$I$10:$I$39,0)),0))</f>
        <v/>
      </c>
      <c r="R1356" s="17">
        <f>IF($A1356="","",$A1356-WEEKDAY($A1356,2)+1)</f>
        <v/>
      </c>
    </row>
    <row r="1357">
      <c r="A1357" s="5" t="n"/>
      <c r="B1357" s="4" t="n"/>
      <c r="C1357" s="4" t="n"/>
      <c r="D1357" s="4" t="n"/>
      <c r="E1357" s="4" t="n"/>
      <c r="F1357" s="4" t="n"/>
      <c r="G1357" s="4" t="n"/>
      <c r="H1357" s="4" t="n"/>
      <c r="I1357" s="9">
        <f>IF($H1357="","",IFERROR(INDEX('Settings'!$J$10:$J$39,MATCH($H1357,'Settings'!$I$10:$I$39,0)),""))</f>
        <v/>
      </c>
      <c r="J1357" s="6" t="n"/>
      <c r="K1357" s="8" t="n"/>
      <c r="L1357" s="8" t="n"/>
      <c r="M1357" s="14">
        <f>IF($A1357="","",$J1357*$K1357)</f>
        <v/>
      </c>
      <c r="N1357" s="14">
        <f>IF($A1357="","",$M1357-$L1357)</f>
        <v/>
      </c>
      <c r="O1357" s="4" t="n"/>
      <c r="P1357" s="15">
        <f>IF($A1357="","",DATE(YEAR($A1357),MONTH($A1357),1))</f>
        <v/>
      </c>
      <c r="Q1357" s="16">
        <f>IF($H1357="","",$J1357*IFERROR(INDEX('Settings'!$L$10:$L$39,MATCH($H1357,'Settings'!$I$10:$I$39,0)),0))</f>
        <v/>
      </c>
      <c r="R1357" s="17">
        <f>IF($A1357="","",$A1357-WEEKDAY($A1357,2)+1)</f>
        <v/>
      </c>
    </row>
    <row r="1358">
      <c r="A1358" s="5" t="n"/>
      <c r="B1358" s="4" t="n"/>
      <c r="C1358" s="4" t="n"/>
      <c r="D1358" s="4" t="n"/>
      <c r="E1358" s="4" t="n"/>
      <c r="F1358" s="4" t="n"/>
      <c r="G1358" s="4" t="n"/>
      <c r="H1358" s="4" t="n"/>
      <c r="I1358" s="9">
        <f>IF($H1358="","",IFERROR(INDEX('Settings'!$J$10:$J$39,MATCH($H1358,'Settings'!$I$10:$I$39,0)),""))</f>
        <v/>
      </c>
      <c r="J1358" s="6" t="n"/>
      <c r="K1358" s="8" t="n"/>
      <c r="L1358" s="8" t="n"/>
      <c r="M1358" s="14">
        <f>IF($A1358="","",$J1358*$K1358)</f>
        <v/>
      </c>
      <c r="N1358" s="14">
        <f>IF($A1358="","",$M1358-$L1358)</f>
        <v/>
      </c>
      <c r="O1358" s="4" t="n"/>
      <c r="P1358" s="15">
        <f>IF($A1358="","",DATE(YEAR($A1358),MONTH($A1358),1))</f>
        <v/>
      </c>
      <c r="Q1358" s="16">
        <f>IF($H1358="","",$J1358*IFERROR(INDEX('Settings'!$L$10:$L$39,MATCH($H1358,'Settings'!$I$10:$I$39,0)),0))</f>
        <v/>
      </c>
      <c r="R1358" s="17">
        <f>IF($A1358="","",$A1358-WEEKDAY($A1358,2)+1)</f>
        <v/>
      </c>
    </row>
    <row r="1359">
      <c r="A1359" s="5" t="n"/>
      <c r="B1359" s="4" t="n"/>
      <c r="C1359" s="4" t="n"/>
      <c r="D1359" s="4" t="n"/>
      <c r="E1359" s="4" t="n"/>
      <c r="F1359" s="4" t="n"/>
      <c r="G1359" s="4" t="n"/>
      <c r="H1359" s="4" t="n"/>
      <c r="I1359" s="9">
        <f>IF($H1359="","",IFERROR(INDEX('Settings'!$J$10:$J$39,MATCH($H1359,'Settings'!$I$10:$I$39,0)),""))</f>
        <v/>
      </c>
      <c r="J1359" s="6" t="n"/>
      <c r="K1359" s="8" t="n"/>
      <c r="L1359" s="8" t="n"/>
      <c r="M1359" s="14">
        <f>IF($A1359="","",$J1359*$K1359)</f>
        <v/>
      </c>
      <c r="N1359" s="14">
        <f>IF($A1359="","",$M1359-$L1359)</f>
        <v/>
      </c>
      <c r="O1359" s="4" t="n"/>
      <c r="P1359" s="15">
        <f>IF($A1359="","",DATE(YEAR($A1359),MONTH($A1359),1))</f>
        <v/>
      </c>
      <c r="Q1359" s="16">
        <f>IF($H1359="","",$J1359*IFERROR(INDEX('Settings'!$L$10:$L$39,MATCH($H1359,'Settings'!$I$10:$I$39,0)),0))</f>
        <v/>
      </c>
      <c r="R1359" s="17">
        <f>IF($A1359="","",$A1359-WEEKDAY($A1359,2)+1)</f>
        <v/>
      </c>
    </row>
    <row r="1360">
      <c r="A1360" s="5" t="n"/>
      <c r="B1360" s="4" t="n"/>
      <c r="C1360" s="4" t="n"/>
      <c r="D1360" s="4" t="n"/>
      <c r="E1360" s="4" t="n"/>
      <c r="F1360" s="4" t="n"/>
      <c r="G1360" s="4" t="n"/>
      <c r="H1360" s="4" t="n"/>
      <c r="I1360" s="9">
        <f>IF($H1360="","",IFERROR(INDEX('Settings'!$J$10:$J$39,MATCH($H1360,'Settings'!$I$10:$I$39,0)),""))</f>
        <v/>
      </c>
      <c r="J1360" s="6" t="n"/>
      <c r="K1360" s="8" t="n"/>
      <c r="L1360" s="8" t="n"/>
      <c r="M1360" s="14">
        <f>IF($A1360="","",$J1360*$K1360)</f>
        <v/>
      </c>
      <c r="N1360" s="14">
        <f>IF($A1360="","",$M1360-$L1360)</f>
        <v/>
      </c>
      <c r="O1360" s="4" t="n"/>
      <c r="P1360" s="15">
        <f>IF($A1360="","",DATE(YEAR($A1360),MONTH($A1360),1))</f>
        <v/>
      </c>
      <c r="Q1360" s="16">
        <f>IF($H1360="","",$J1360*IFERROR(INDEX('Settings'!$L$10:$L$39,MATCH($H1360,'Settings'!$I$10:$I$39,0)),0))</f>
        <v/>
      </c>
      <c r="R1360" s="17">
        <f>IF($A1360="","",$A1360-WEEKDAY($A1360,2)+1)</f>
        <v/>
      </c>
    </row>
    <row r="1361">
      <c r="A1361" s="5" t="n"/>
      <c r="B1361" s="4" t="n"/>
      <c r="C1361" s="4" t="n"/>
      <c r="D1361" s="4" t="n"/>
      <c r="E1361" s="4" t="n"/>
      <c r="F1361" s="4" t="n"/>
      <c r="G1361" s="4" t="n"/>
      <c r="H1361" s="4" t="n"/>
      <c r="I1361" s="9">
        <f>IF($H1361="","",IFERROR(INDEX('Settings'!$J$10:$J$39,MATCH($H1361,'Settings'!$I$10:$I$39,0)),""))</f>
        <v/>
      </c>
      <c r="J1361" s="6" t="n"/>
      <c r="K1361" s="8" t="n"/>
      <c r="L1361" s="8" t="n"/>
      <c r="M1361" s="14">
        <f>IF($A1361="","",$J1361*$K1361)</f>
        <v/>
      </c>
      <c r="N1361" s="14">
        <f>IF($A1361="","",$M1361-$L1361)</f>
        <v/>
      </c>
      <c r="O1361" s="4" t="n"/>
      <c r="P1361" s="15">
        <f>IF($A1361="","",DATE(YEAR($A1361),MONTH($A1361),1))</f>
        <v/>
      </c>
      <c r="Q1361" s="16">
        <f>IF($H1361="","",$J1361*IFERROR(INDEX('Settings'!$L$10:$L$39,MATCH($H1361,'Settings'!$I$10:$I$39,0)),0))</f>
        <v/>
      </c>
      <c r="R1361" s="17">
        <f>IF($A1361="","",$A1361-WEEKDAY($A1361,2)+1)</f>
        <v/>
      </c>
    </row>
    <row r="1362">
      <c r="A1362" s="5" t="n"/>
      <c r="B1362" s="4" t="n"/>
      <c r="C1362" s="4" t="n"/>
      <c r="D1362" s="4" t="n"/>
      <c r="E1362" s="4" t="n"/>
      <c r="F1362" s="4" t="n"/>
      <c r="G1362" s="4" t="n"/>
      <c r="H1362" s="4" t="n"/>
      <c r="I1362" s="9">
        <f>IF($H1362="","",IFERROR(INDEX('Settings'!$J$10:$J$39,MATCH($H1362,'Settings'!$I$10:$I$39,0)),""))</f>
        <v/>
      </c>
      <c r="J1362" s="6" t="n"/>
      <c r="K1362" s="8" t="n"/>
      <c r="L1362" s="8" t="n"/>
      <c r="M1362" s="14">
        <f>IF($A1362="","",$J1362*$K1362)</f>
        <v/>
      </c>
      <c r="N1362" s="14">
        <f>IF($A1362="","",$M1362-$L1362)</f>
        <v/>
      </c>
      <c r="O1362" s="4" t="n"/>
      <c r="P1362" s="15">
        <f>IF($A1362="","",DATE(YEAR($A1362),MONTH($A1362),1))</f>
        <v/>
      </c>
      <c r="Q1362" s="16">
        <f>IF($H1362="","",$J1362*IFERROR(INDEX('Settings'!$L$10:$L$39,MATCH($H1362,'Settings'!$I$10:$I$39,0)),0))</f>
        <v/>
      </c>
      <c r="R1362" s="17">
        <f>IF($A1362="","",$A1362-WEEKDAY($A1362,2)+1)</f>
        <v/>
      </c>
    </row>
    <row r="1363">
      <c r="A1363" s="5" t="n"/>
      <c r="B1363" s="4" t="n"/>
      <c r="C1363" s="4" t="n"/>
      <c r="D1363" s="4" t="n"/>
      <c r="E1363" s="4" t="n"/>
      <c r="F1363" s="4" t="n"/>
      <c r="G1363" s="4" t="n"/>
      <c r="H1363" s="4" t="n"/>
      <c r="I1363" s="9">
        <f>IF($H1363="","",IFERROR(INDEX('Settings'!$J$10:$J$39,MATCH($H1363,'Settings'!$I$10:$I$39,0)),""))</f>
        <v/>
      </c>
      <c r="J1363" s="6" t="n"/>
      <c r="K1363" s="8" t="n"/>
      <c r="L1363" s="8" t="n"/>
      <c r="M1363" s="14">
        <f>IF($A1363="","",$J1363*$K1363)</f>
        <v/>
      </c>
      <c r="N1363" s="14">
        <f>IF($A1363="","",$M1363-$L1363)</f>
        <v/>
      </c>
      <c r="O1363" s="4" t="n"/>
      <c r="P1363" s="15">
        <f>IF($A1363="","",DATE(YEAR($A1363),MONTH($A1363),1))</f>
        <v/>
      </c>
      <c r="Q1363" s="16">
        <f>IF($H1363="","",$J1363*IFERROR(INDEX('Settings'!$L$10:$L$39,MATCH($H1363,'Settings'!$I$10:$I$39,0)),0))</f>
        <v/>
      </c>
      <c r="R1363" s="17">
        <f>IF($A1363="","",$A1363-WEEKDAY($A1363,2)+1)</f>
        <v/>
      </c>
    </row>
    <row r="1364">
      <c r="A1364" s="5" t="n"/>
      <c r="B1364" s="4" t="n"/>
      <c r="C1364" s="4" t="n"/>
      <c r="D1364" s="4" t="n"/>
      <c r="E1364" s="4" t="n"/>
      <c r="F1364" s="4" t="n"/>
      <c r="G1364" s="4" t="n"/>
      <c r="H1364" s="4" t="n"/>
      <c r="I1364" s="9">
        <f>IF($H1364="","",IFERROR(INDEX('Settings'!$J$10:$J$39,MATCH($H1364,'Settings'!$I$10:$I$39,0)),""))</f>
        <v/>
      </c>
      <c r="J1364" s="6" t="n"/>
      <c r="K1364" s="8" t="n"/>
      <c r="L1364" s="8" t="n"/>
      <c r="M1364" s="14">
        <f>IF($A1364="","",$J1364*$K1364)</f>
        <v/>
      </c>
      <c r="N1364" s="14">
        <f>IF($A1364="","",$M1364-$L1364)</f>
        <v/>
      </c>
      <c r="O1364" s="4" t="n"/>
      <c r="P1364" s="15">
        <f>IF($A1364="","",DATE(YEAR($A1364),MONTH($A1364),1))</f>
        <v/>
      </c>
      <c r="Q1364" s="16">
        <f>IF($H1364="","",$J1364*IFERROR(INDEX('Settings'!$L$10:$L$39,MATCH($H1364,'Settings'!$I$10:$I$39,0)),0))</f>
        <v/>
      </c>
      <c r="R1364" s="17">
        <f>IF($A1364="","",$A1364-WEEKDAY($A1364,2)+1)</f>
        <v/>
      </c>
    </row>
    <row r="1365">
      <c r="A1365" s="5" t="n"/>
      <c r="B1365" s="4" t="n"/>
      <c r="C1365" s="4" t="n"/>
      <c r="D1365" s="4" t="n"/>
      <c r="E1365" s="4" t="n"/>
      <c r="F1365" s="4" t="n"/>
      <c r="G1365" s="4" t="n"/>
      <c r="H1365" s="4" t="n"/>
      <c r="I1365" s="9">
        <f>IF($H1365="","",IFERROR(INDEX('Settings'!$J$10:$J$39,MATCH($H1365,'Settings'!$I$10:$I$39,0)),""))</f>
        <v/>
      </c>
      <c r="J1365" s="6" t="n"/>
      <c r="K1365" s="8" t="n"/>
      <c r="L1365" s="8" t="n"/>
      <c r="M1365" s="14">
        <f>IF($A1365="","",$J1365*$K1365)</f>
        <v/>
      </c>
      <c r="N1365" s="14">
        <f>IF($A1365="","",$M1365-$L1365)</f>
        <v/>
      </c>
      <c r="O1365" s="4" t="n"/>
      <c r="P1365" s="15">
        <f>IF($A1365="","",DATE(YEAR($A1365),MONTH($A1365),1))</f>
        <v/>
      </c>
      <c r="Q1365" s="16">
        <f>IF($H1365="","",$J1365*IFERROR(INDEX('Settings'!$L$10:$L$39,MATCH($H1365,'Settings'!$I$10:$I$39,0)),0))</f>
        <v/>
      </c>
      <c r="R1365" s="17">
        <f>IF($A1365="","",$A1365-WEEKDAY($A1365,2)+1)</f>
        <v/>
      </c>
    </row>
    <row r="1366">
      <c r="A1366" s="5" t="n"/>
      <c r="B1366" s="4" t="n"/>
      <c r="C1366" s="4" t="n"/>
      <c r="D1366" s="4" t="n"/>
      <c r="E1366" s="4" t="n"/>
      <c r="F1366" s="4" t="n"/>
      <c r="G1366" s="4" t="n"/>
      <c r="H1366" s="4" t="n"/>
      <c r="I1366" s="9">
        <f>IF($H1366="","",IFERROR(INDEX('Settings'!$J$10:$J$39,MATCH($H1366,'Settings'!$I$10:$I$39,0)),""))</f>
        <v/>
      </c>
      <c r="J1366" s="6" t="n"/>
      <c r="K1366" s="8" t="n"/>
      <c r="L1366" s="8" t="n"/>
      <c r="M1366" s="14">
        <f>IF($A1366="","",$J1366*$K1366)</f>
        <v/>
      </c>
      <c r="N1366" s="14">
        <f>IF($A1366="","",$M1366-$L1366)</f>
        <v/>
      </c>
      <c r="O1366" s="4" t="n"/>
      <c r="P1366" s="15">
        <f>IF($A1366="","",DATE(YEAR($A1366),MONTH($A1366),1))</f>
        <v/>
      </c>
      <c r="Q1366" s="16">
        <f>IF($H1366="","",$J1366*IFERROR(INDEX('Settings'!$L$10:$L$39,MATCH($H1366,'Settings'!$I$10:$I$39,0)),0))</f>
        <v/>
      </c>
      <c r="R1366" s="17">
        <f>IF($A1366="","",$A1366-WEEKDAY($A1366,2)+1)</f>
        <v/>
      </c>
    </row>
    <row r="1367">
      <c r="A1367" s="5" t="n"/>
      <c r="B1367" s="4" t="n"/>
      <c r="C1367" s="4" t="n"/>
      <c r="D1367" s="4" t="n"/>
      <c r="E1367" s="4" t="n"/>
      <c r="F1367" s="4" t="n"/>
      <c r="G1367" s="4" t="n"/>
      <c r="H1367" s="4" t="n"/>
      <c r="I1367" s="9">
        <f>IF($H1367="","",IFERROR(INDEX('Settings'!$J$10:$J$39,MATCH($H1367,'Settings'!$I$10:$I$39,0)),""))</f>
        <v/>
      </c>
      <c r="J1367" s="6" t="n"/>
      <c r="K1367" s="8" t="n"/>
      <c r="L1367" s="8" t="n"/>
      <c r="M1367" s="14">
        <f>IF($A1367="","",$J1367*$K1367)</f>
        <v/>
      </c>
      <c r="N1367" s="14">
        <f>IF($A1367="","",$M1367-$L1367)</f>
        <v/>
      </c>
      <c r="O1367" s="4" t="n"/>
      <c r="P1367" s="15">
        <f>IF($A1367="","",DATE(YEAR($A1367),MONTH($A1367),1))</f>
        <v/>
      </c>
      <c r="Q1367" s="16">
        <f>IF($H1367="","",$J1367*IFERROR(INDEX('Settings'!$L$10:$L$39,MATCH($H1367,'Settings'!$I$10:$I$39,0)),0))</f>
        <v/>
      </c>
      <c r="R1367" s="17">
        <f>IF($A1367="","",$A1367-WEEKDAY($A1367,2)+1)</f>
        <v/>
      </c>
    </row>
    <row r="1368">
      <c r="A1368" s="5" t="n"/>
      <c r="B1368" s="4" t="n"/>
      <c r="C1368" s="4" t="n"/>
      <c r="D1368" s="4" t="n"/>
      <c r="E1368" s="4" t="n"/>
      <c r="F1368" s="4" t="n"/>
      <c r="G1368" s="4" t="n"/>
      <c r="H1368" s="4" t="n"/>
      <c r="I1368" s="9">
        <f>IF($H1368="","",IFERROR(INDEX('Settings'!$J$10:$J$39,MATCH($H1368,'Settings'!$I$10:$I$39,0)),""))</f>
        <v/>
      </c>
      <c r="J1368" s="6" t="n"/>
      <c r="K1368" s="8" t="n"/>
      <c r="L1368" s="8" t="n"/>
      <c r="M1368" s="14">
        <f>IF($A1368="","",$J1368*$K1368)</f>
        <v/>
      </c>
      <c r="N1368" s="14">
        <f>IF($A1368="","",$M1368-$L1368)</f>
        <v/>
      </c>
      <c r="O1368" s="4" t="n"/>
      <c r="P1368" s="15">
        <f>IF($A1368="","",DATE(YEAR($A1368),MONTH($A1368),1))</f>
        <v/>
      </c>
      <c r="Q1368" s="16">
        <f>IF($H1368="","",$J1368*IFERROR(INDEX('Settings'!$L$10:$L$39,MATCH($H1368,'Settings'!$I$10:$I$39,0)),0))</f>
        <v/>
      </c>
      <c r="R1368" s="17">
        <f>IF($A1368="","",$A1368-WEEKDAY($A1368,2)+1)</f>
        <v/>
      </c>
    </row>
    <row r="1369">
      <c r="A1369" s="5" t="n"/>
      <c r="B1369" s="4" t="n"/>
      <c r="C1369" s="4" t="n"/>
      <c r="D1369" s="4" t="n"/>
      <c r="E1369" s="4" t="n"/>
      <c r="F1369" s="4" t="n"/>
      <c r="G1369" s="4" t="n"/>
      <c r="H1369" s="4" t="n"/>
      <c r="I1369" s="9">
        <f>IF($H1369="","",IFERROR(INDEX('Settings'!$J$10:$J$39,MATCH($H1369,'Settings'!$I$10:$I$39,0)),""))</f>
        <v/>
      </c>
      <c r="J1369" s="6" t="n"/>
      <c r="K1369" s="8" t="n"/>
      <c r="L1369" s="8" t="n"/>
      <c r="M1369" s="14">
        <f>IF($A1369="","",$J1369*$K1369)</f>
        <v/>
      </c>
      <c r="N1369" s="14">
        <f>IF($A1369="","",$M1369-$L1369)</f>
        <v/>
      </c>
      <c r="O1369" s="4" t="n"/>
      <c r="P1369" s="15">
        <f>IF($A1369="","",DATE(YEAR($A1369),MONTH($A1369),1))</f>
        <v/>
      </c>
      <c r="Q1369" s="16">
        <f>IF($H1369="","",$J1369*IFERROR(INDEX('Settings'!$L$10:$L$39,MATCH($H1369,'Settings'!$I$10:$I$39,0)),0))</f>
        <v/>
      </c>
      <c r="R1369" s="17">
        <f>IF($A1369="","",$A1369-WEEKDAY($A1369,2)+1)</f>
        <v/>
      </c>
    </row>
    <row r="1370">
      <c r="A1370" s="5" t="n"/>
      <c r="B1370" s="4" t="n"/>
      <c r="C1370" s="4" t="n"/>
      <c r="D1370" s="4" t="n"/>
      <c r="E1370" s="4" t="n"/>
      <c r="F1370" s="4" t="n"/>
      <c r="G1370" s="4" t="n"/>
      <c r="H1370" s="4" t="n"/>
      <c r="I1370" s="9">
        <f>IF($H1370="","",IFERROR(INDEX('Settings'!$J$10:$J$39,MATCH($H1370,'Settings'!$I$10:$I$39,0)),""))</f>
        <v/>
      </c>
      <c r="J1370" s="6" t="n"/>
      <c r="K1370" s="8" t="n"/>
      <c r="L1370" s="8" t="n"/>
      <c r="M1370" s="14">
        <f>IF($A1370="","",$J1370*$K1370)</f>
        <v/>
      </c>
      <c r="N1370" s="14">
        <f>IF($A1370="","",$M1370-$L1370)</f>
        <v/>
      </c>
      <c r="O1370" s="4" t="n"/>
      <c r="P1370" s="15">
        <f>IF($A1370="","",DATE(YEAR($A1370),MONTH($A1370),1))</f>
        <v/>
      </c>
      <c r="Q1370" s="16">
        <f>IF($H1370="","",$J1370*IFERROR(INDEX('Settings'!$L$10:$L$39,MATCH($H1370,'Settings'!$I$10:$I$39,0)),0))</f>
        <v/>
      </c>
      <c r="R1370" s="17">
        <f>IF($A1370="","",$A1370-WEEKDAY($A1370,2)+1)</f>
        <v/>
      </c>
    </row>
    <row r="1371">
      <c r="A1371" s="5" t="n"/>
      <c r="B1371" s="4" t="n"/>
      <c r="C1371" s="4" t="n"/>
      <c r="D1371" s="4" t="n"/>
      <c r="E1371" s="4" t="n"/>
      <c r="F1371" s="4" t="n"/>
      <c r="G1371" s="4" t="n"/>
      <c r="H1371" s="4" t="n"/>
      <c r="I1371" s="9">
        <f>IF($H1371="","",IFERROR(INDEX('Settings'!$J$10:$J$39,MATCH($H1371,'Settings'!$I$10:$I$39,0)),""))</f>
        <v/>
      </c>
      <c r="J1371" s="6" t="n"/>
      <c r="K1371" s="8" t="n"/>
      <c r="L1371" s="8" t="n"/>
      <c r="M1371" s="14">
        <f>IF($A1371="","",$J1371*$K1371)</f>
        <v/>
      </c>
      <c r="N1371" s="14">
        <f>IF($A1371="","",$M1371-$L1371)</f>
        <v/>
      </c>
      <c r="O1371" s="4" t="n"/>
      <c r="P1371" s="15">
        <f>IF($A1371="","",DATE(YEAR($A1371),MONTH($A1371),1))</f>
        <v/>
      </c>
      <c r="Q1371" s="16">
        <f>IF($H1371="","",$J1371*IFERROR(INDEX('Settings'!$L$10:$L$39,MATCH($H1371,'Settings'!$I$10:$I$39,0)),0))</f>
        <v/>
      </c>
      <c r="R1371" s="17">
        <f>IF($A1371="","",$A1371-WEEKDAY($A1371,2)+1)</f>
        <v/>
      </c>
    </row>
    <row r="1372">
      <c r="A1372" s="5" t="n"/>
      <c r="B1372" s="4" t="n"/>
      <c r="C1372" s="4" t="n"/>
      <c r="D1372" s="4" t="n"/>
      <c r="E1372" s="4" t="n"/>
      <c r="F1372" s="4" t="n"/>
      <c r="G1372" s="4" t="n"/>
      <c r="H1372" s="4" t="n"/>
      <c r="I1372" s="9">
        <f>IF($H1372="","",IFERROR(INDEX('Settings'!$J$10:$J$39,MATCH($H1372,'Settings'!$I$10:$I$39,0)),""))</f>
        <v/>
      </c>
      <c r="J1372" s="6" t="n"/>
      <c r="K1372" s="8" t="n"/>
      <c r="L1372" s="8" t="n"/>
      <c r="M1372" s="14">
        <f>IF($A1372="","",$J1372*$K1372)</f>
        <v/>
      </c>
      <c r="N1372" s="14">
        <f>IF($A1372="","",$M1372-$L1372)</f>
        <v/>
      </c>
      <c r="O1372" s="4" t="n"/>
      <c r="P1372" s="15">
        <f>IF($A1372="","",DATE(YEAR($A1372),MONTH($A1372),1))</f>
        <v/>
      </c>
      <c r="Q1372" s="16">
        <f>IF($H1372="","",$J1372*IFERROR(INDEX('Settings'!$L$10:$L$39,MATCH($H1372,'Settings'!$I$10:$I$39,0)),0))</f>
        <v/>
      </c>
      <c r="R1372" s="17">
        <f>IF($A1372="","",$A1372-WEEKDAY($A1372,2)+1)</f>
        <v/>
      </c>
    </row>
    <row r="1373">
      <c r="A1373" s="5" t="n"/>
      <c r="B1373" s="4" t="n"/>
      <c r="C1373" s="4" t="n"/>
      <c r="D1373" s="4" t="n"/>
      <c r="E1373" s="4" t="n"/>
      <c r="F1373" s="4" t="n"/>
      <c r="G1373" s="4" t="n"/>
      <c r="H1373" s="4" t="n"/>
      <c r="I1373" s="9">
        <f>IF($H1373="","",IFERROR(INDEX('Settings'!$J$10:$J$39,MATCH($H1373,'Settings'!$I$10:$I$39,0)),""))</f>
        <v/>
      </c>
      <c r="J1373" s="6" t="n"/>
      <c r="K1373" s="8" t="n"/>
      <c r="L1373" s="8" t="n"/>
      <c r="M1373" s="14">
        <f>IF($A1373="","",$J1373*$K1373)</f>
        <v/>
      </c>
      <c r="N1373" s="14">
        <f>IF($A1373="","",$M1373-$L1373)</f>
        <v/>
      </c>
      <c r="O1373" s="4" t="n"/>
      <c r="P1373" s="15">
        <f>IF($A1373="","",DATE(YEAR($A1373),MONTH($A1373),1))</f>
        <v/>
      </c>
      <c r="Q1373" s="16">
        <f>IF($H1373="","",$J1373*IFERROR(INDEX('Settings'!$L$10:$L$39,MATCH($H1373,'Settings'!$I$10:$I$39,0)),0))</f>
        <v/>
      </c>
      <c r="R1373" s="17">
        <f>IF($A1373="","",$A1373-WEEKDAY($A1373,2)+1)</f>
        <v/>
      </c>
    </row>
    <row r="1374">
      <c r="A1374" s="5" t="n"/>
      <c r="B1374" s="4" t="n"/>
      <c r="C1374" s="4" t="n"/>
      <c r="D1374" s="4" t="n"/>
      <c r="E1374" s="4" t="n"/>
      <c r="F1374" s="4" t="n"/>
      <c r="G1374" s="4" t="n"/>
      <c r="H1374" s="4" t="n"/>
      <c r="I1374" s="9">
        <f>IF($H1374="","",IFERROR(INDEX('Settings'!$J$10:$J$39,MATCH($H1374,'Settings'!$I$10:$I$39,0)),""))</f>
        <v/>
      </c>
      <c r="J1374" s="6" t="n"/>
      <c r="K1374" s="8" t="n"/>
      <c r="L1374" s="8" t="n"/>
      <c r="M1374" s="14">
        <f>IF($A1374="","",$J1374*$K1374)</f>
        <v/>
      </c>
      <c r="N1374" s="14">
        <f>IF($A1374="","",$M1374-$L1374)</f>
        <v/>
      </c>
      <c r="O1374" s="4" t="n"/>
      <c r="P1374" s="15">
        <f>IF($A1374="","",DATE(YEAR($A1374),MONTH($A1374),1))</f>
        <v/>
      </c>
      <c r="Q1374" s="16">
        <f>IF($H1374="","",$J1374*IFERROR(INDEX('Settings'!$L$10:$L$39,MATCH($H1374,'Settings'!$I$10:$I$39,0)),0))</f>
        <v/>
      </c>
      <c r="R1374" s="17">
        <f>IF($A1374="","",$A1374-WEEKDAY($A1374,2)+1)</f>
        <v/>
      </c>
    </row>
    <row r="1375">
      <c r="A1375" s="5" t="n"/>
      <c r="B1375" s="4" t="n"/>
      <c r="C1375" s="4" t="n"/>
      <c r="D1375" s="4" t="n"/>
      <c r="E1375" s="4" t="n"/>
      <c r="F1375" s="4" t="n"/>
      <c r="G1375" s="4" t="n"/>
      <c r="H1375" s="4" t="n"/>
      <c r="I1375" s="9">
        <f>IF($H1375="","",IFERROR(INDEX('Settings'!$J$10:$J$39,MATCH($H1375,'Settings'!$I$10:$I$39,0)),""))</f>
        <v/>
      </c>
      <c r="J1375" s="6" t="n"/>
      <c r="K1375" s="8" t="n"/>
      <c r="L1375" s="8" t="n"/>
      <c r="M1375" s="14">
        <f>IF($A1375="","",$J1375*$K1375)</f>
        <v/>
      </c>
      <c r="N1375" s="14">
        <f>IF($A1375="","",$M1375-$L1375)</f>
        <v/>
      </c>
      <c r="O1375" s="4" t="n"/>
      <c r="P1375" s="15">
        <f>IF($A1375="","",DATE(YEAR($A1375),MONTH($A1375),1))</f>
        <v/>
      </c>
      <c r="Q1375" s="16">
        <f>IF($H1375="","",$J1375*IFERROR(INDEX('Settings'!$L$10:$L$39,MATCH($H1375,'Settings'!$I$10:$I$39,0)),0))</f>
        <v/>
      </c>
      <c r="R1375" s="17">
        <f>IF($A1375="","",$A1375-WEEKDAY($A1375,2)+1)</f>
        <v/>
      </c>
    </row>
    <row r="1376">
      <c r="A1376" s="5" t="n"/>
      <c r="B1376" s="4" t="n"/>
      <c r="C1376" s="4" t="n"/>
      <c r="D1376" s="4" t="n"/>
      <c r="E1376" s="4" t="n"/>
      <c r="F1376" s="4" t="n"/>
      <c r="G1376" s="4" t="n"/>
      <c r="H1376" s="4" t="n"/>
      <c r="I1376" s="9">
        <f>IF($H1376="","",IFERROR(INDEX('Settings'!$J$10:$J$39,MATCH($H1376,'Settings'!$I$10:$I$39,0)),""))</f>
        <v/>
      </c>
      <c r="J1376" s="6" t="n"/>
      <c r="K1376" s="8" t="n"/>
      <c r="L1376" s="8" t="n"/>
      <c r="M1376" s="14">
        <f>IF($A1376="","",$J1376*$K1376)</f>
        <v/>
      </c>
      <c r="N1376" s="14">
        <f>IF($A1376="","",$M1376-$L1376)</f>
        <v/>
      </c>
      <c r="O1376" s="4" t="n"/>
      <c r="P1376" s="15">
        <f>IF($A1376="","",DATE(YEAR($A1376),MONTH($A1376),1))</f>
        <v/>
      </c>
      <c r="Q1376" s="16">
        <f>IF($H1376="","",$J1376*IFERROR(INDEX('Settings'!$L$10:$L$39,MATCH($H1376,'Settings'!$I$10:$I$39,0)),0))</f>
        <v/>
      </c>
      <c r="R1376" s="17">
        <f>IF($A1376="","",$A1376-WEEKDAY($A1376,2)+1)</f>
        <v/>
      </c>
    </row>
    <row r="1377">
      <c r="A1377" s="5" t="n"/>
      <c r="B1377" s="4" t="n"/>
      <c r="C1377" s="4" t="n"/>
      <c r="D1377" s="4" t="n"/>
      <c r="E1377" s="4" t="n"/>
      <c r="F1377" s="4" t="n"/>
      <c r="G1377" s="4" t="n"/>
      <c r="H1377" s="4" t="n"/>
      <c r="I1377" s="9">
        <f>IF($H1377="","",IFERROR(INDEX('Settings'!$J$10:$J$39,MATCH($H1377,'Settings'!$I$10:$I$39,0)),""))</f>
        <v/>
      </c>
      <c r="J1377" s="6" t="n"/>
      <c r="K1377" s="8" t="n"/>
      <c r="L1377" s="8" t="n"/>
      <c r="M1377" s="14">
        <f>IF($A1377="","",$J1377*$K1377)</f>
        <v/>
      </c>
      <c r="N1377" s="14">
        <f>IF($A1377="","",$M1377-$L1377)</f>
        <v/>
      </c>
      <c r="O1377" s="4" t="n"/>
      <c r="P1377" s="15">
        <f>IF($A1377="","",DATE(YEAR($A1377),MONTH($A1377),1))</f>
        <v/>
      </c>
      <c r="Q1377" s="16">
        <f>IF($H1377="","",$J1377*IFERROR(INDEX('Settings'!$L$10:$L$39,MATCH($H1377,'Settings'!$I$10:$I$39,0)),0))</f>
        <v/>
      </c>
      <c r="R1377" s="17">
        <f>IF($A1377="","",$A1377-WEEKDAY($A1377,2)+1)</f>
        <v/>
      </c>
    </row>
    <row r="1378">
      <c r="A1378" s="5" t="n"/>
      <c r="B1378" s="4" t="n"/>
      <c r="C1378" s="4" t="n"/>
      <c r="D1378" s="4" t="n"/>
      <c r="E1378" s="4" t="n"/>
      <c r="F1378" s="4" t="n"/>
      <c r="G1378" s="4" t="n"/>
      <c r="H1378" s="4" t="n"/>
      <c r="I1378" s="9">
        <f>IF($H1378="","",IFERROR(INDEX('Settings'!$J$10:$J$39,MATCH($H1378,'Settings'!$I$10:$I$39,0)),""))</f>
        <v/>
      </c>
      <c r="J1378" s="6" t="n"/>
      <c r="K1378" s="8" t="n"/>
      <c r="L1378" s="8" t="n"/>
      <c r="M1378" s="14">
        <f>IF($A1378="","",$J1378*$K1378)</f>
        <v/>
      </c>
      <c r="N1378" s="14">
        <f>IF($A1378="","",$M1378-$L1378)</f>
        <v/>
      </c>
      <c r="O1378" s="4" t="n"/>
      <c r="P1378" s="15">
        <f>IF($A1378="","",DATE(YEAR($A1378),MONTH($A1378),1))</f>
        <v/>
      </c>
      <c r="Q1378" s="16">
        <f>IF($H1378="","",$J1378*IFERROR(INDEX('Settings'!$L$10:$L$39,MATCH($H1378,'Settings'!$I$10:$I$39,0)),0))</f>
        <v/>
      </c>
      <c r="R1378" s="17">
        <f>IF($A1378="","",$A1378-WEEKDAY($A1378,2)+1)</f>
        <v/>
      </c>
    </row>
    <row r="1379">
      <c r="A1379" s="5" t="n"/>
      <c r="B1379" s="4" t="n"/>
      <c r="C1379" s="4" t="n"/>
      <c r="D1379" s="4" t="n"/>
      <c r="E1379" s="4" t="n"/>
      <c r="F1379" s="4" t="n"/>
      <c r="G1379" s="4" t="n"/>
      <c r="H1379" s="4" t="n"/>
      <c r="I1379" s="9">
        <f>IF($H1379="","",IFERROR(INDEX('Settings'!$J$10:$J$39,MATCH($H1379,'Settings'!$I$10:$I$39,0)),""))</f>
        <v/>
      </c>
      <c r="J1379" s="6" t="n"/>
      <c r="K1379" s="8" t="n"/>
      <c r="L1379" s="8" t="n"/>
      <c r="M1379" s="14">
        <f>IF($A1379="","",$J1379*$K1379)</f>
        <v/>
      </c>
      <c r="N1379" s="14">
        <f>IF($A1379="","",$M1379-$L1379)</f>
        <v/>
      </c>
      <c r="O1379" s="4" t="n"/>
      <c r="P1379" s="15">
        <f>IF($A1379="","",DATE(YEAR($A1379),MONTH($A1379),1))</f>
        <v/>
      </c>
      <c r="Q1379" s="16">
        <f>IF($H1379="","",$J1379*IFERROR(INDEX('Settings'!$L$10:$L$39,MATCH($H1379,'Settings'!$I$10:$I$39,0)),0))</f>
        <v/>
      </c>
      <c r="R1379" s="17">
        <f>IF($A1379="","",$A1379-WEEKDAY($A1379,2)+1)</f>
        <v/>
      </c>
    </row>
    <row r="1380">
      <c r="A1380" s="5" t="n"/>
      <c r="B1380" s="4" t="n"/>
      <c r="C1380" s="4" t="n"/>
      <c r="D1380" s="4" t="n"/>
      <c r="E1380" s="4" t="n"/>
      <c r="F1380" s="4" t="n"/>
      <c r="G1380" s="4" t="n"/>
      <c r="H1380" s="4" t="n"/>
      <c r="I1380" s="9">
        <f>IF($H1380="","",IFERROR(INDEX('Settings'!$J$10:$J$39,MATCH($H1380,'Settings'!$I$10:$I$39,0)),""))</f>
        <v/>
      </c>
      <c r="J1380" s="6" t="n"/>
      <c r="K1380" s="8" t="n"/>
      <c r="L1380" s="8" t="n"/>
      <c r="M1380" s="14">
        <f>IF($A1380="","",$J1380*$K1380)</f>
        <v/>
      </c>
      <c r="N1380" s="14">
        <f>IF($A1380="","",$M1380-$L1380)</f>
        <v/>
      </c>
      <c r="O1380" s="4" t="n"/>
      <c r="P1380" s="15">
        <f>IF($A1380="","",DATE(YEAR($A1380),MONTH($A1380),1))</f>
        <v/>
      </c>
      <c r="Q1380" s="16">
        <f>IF($H1380="","",$J1380*IFERROR(INDEX('Settings'!$L$10:$L$39,MATCH($H1380,'Settings'!$I$10:$I$39,0)),0))</f>
        <v/>
      </c>
      <c r="R1380" s="17">
        <f>IF($A1380="","",$A1380-WEEKDAY($A1380,2)+1)</f>
        <v/>
      </c>
    </row>
    <row r="1381">
      <c r="A1381" s="5" t="n"/>
      <c r="B1381" s="4" t="n"/>
      <c r="C1381" s="4" t="n"/>
      <c r="D1381" s="4" t="n"/>
      <c r="E1381" s="4" t="n"/>
      <c r="F1381" s="4" t="n"/>
      <c r="G1381" s="4" t="n"/>
      <c r="H1381" s="4" t="n"/>
      <c r="I1381" s="9">
        <f>IF($H1381="","",IFERROR(INDEX('Settings'!$J$10:$J$39,MATCH($H1381,'Settings'!$I$10:$I$39,0)),""))</f>
        <v/>
      </c>
      <c r="J1381" s="6" t="n"/>
      <c r="K1381" s="8" t="n"/>
      <c r="L1381" s="8" t="n"/>
      <c r="M1381" s="14">
        <f>IF($A1381="","",$J1381*$K1381)</f>
        <v/>
      </c>
      <c r="N1381" s="14">
        <f>IF($A1381="","",$M1381-$L1381)</f>
        <v/>
      </c>
      <c r="O1381" s="4" t="n"/>
      <c r="P1381" s="15">
        <f>IF($A1381="","",DATE(YEAR($A1381),MONTH($A1381),1))</f>
        <v/>
      </c>
      <c r="Q1381" s="16">
        <f>IF($H1381="","",$J1381*IFERROR(INDEX('Settings'!$L$10:$L$39,MATCH($H1381,'Settings'!$I$10:$I$39,0)),0))</f>
        <v/>
      </c>
      <c r="R1381" s="17">
        <f>IF($A1381="","",$A1381-WEEKDAY($A1381,2)+1)</f>
        <v/>
      </c>
    </row>
    <row r="1382">
      <c r="A1382" s="5" t="n"/>
      <c r="B1382" s="4" t="n"/>
      <c r="C1382" s="4" t="n"/>
      <c r="D1382" s="4" t="n"/>
      <c r="E1382" s="4" t="n"/>
      <c r="F1382" s="4" t="n"/>
      <c r="G1382" s="4" t="n"/>
      <c r="H1382" s="4" t="n"/>
      <c r="I1382" s="9">
        <f>IF($H1382="","",IFERROR(INDEX('Settings'!$J$10:$J$39,MATCH($H1382,'Settings'!$I$10:$I$39,0)),""))</f>
        <v/>
      </c>
      <c r="J1382" s="6" t="n"/>
      <c r="K1382" s="8" t="n"/>
      <c r="L1382" s="8" t="n"/>
      <c r="M1382" s="14">
        <f>IF($A1382="","",$J1382*$K1382)</f>
        <v/>
      </c>
      <c r="N1382" s="14">
        <f>IF($A1382="","",$M1382-$L1382)</f>
        <v/>
      </c>
      <c r="O1382" s="4" t="n"/>
      <c r="P1382" s="15">
        <f>IF($A1382="","",DATE(YEAR($A1382),MONTH($A1382),1))</f>
        <v/>
      </c>
      <c r="Q1382" s="16">
        <f>IF($H1382="","",$J1382*IFERROR(INDEX('Settings'!$L$10:$L$39,MATCH($H1382,'Settings'!$I$10:$I$39,0)),0))</f>
        <v/>
      </c>
      <c r="R1382" s="17">
        <f>IF($A1382="","",$A1382-WEEKDAY($A1382,2)+1)</f>
        <v/>
      </c>
    </row>
    <row r="1383">
      <c r="A1383" s="5" t="n"/>
      <c r="B1383" s="4" t="n"/>
      <c r="C1383" s="4" t="n"/>
      <c r="D1383" s="4" t="n"/>
      <c r="E1383" s="4" t="n"/>
      <c r="F1383" s="4" t="n"/>
      <c r="G1383" s="4" t="n"/>
      <c r="H1383" s="4" t="n"/>
      <c r="I1383" s="9">
        <f>IF($H1383="","",IFERROR(INDEX('Settings'!$J$10:$J$39,MATCH($H1383,'Settings'!$I$10:$I$39,0)),""))</f>
        <v/>
      </c>
      <c r="J1383" s="6" t="n"/>
      <c r="K1383" s="8" t="n"/>
      <c r="L1383" s="8" t="n"/>
      <c r="M1383" s="14">
        <f>IF($A1383="","",$J1383*$K1383)</f>
        <v/>
      </c>
      <c r="N1383" s="14">
        <f>IF($A1383="","",$M1383-$L1383)</f>
        <v/>
      </c>
      <c r="O1383" s="4" t="n"/>
      <c r="P1383" s="15">
        <f>IF($A1383="","",DATE(YEAR($A1383),MONTH($A1383),1))</f>
        <v/>
      </c>
      <c r="Q1383" s="16">
        <f>IF($H1383="","",$J1383*IFERROR(INDEX('Settings'!$L$10:$L$39,MATCH($H1383,'Settings'!$I$10:$I$39,0)),0))</f>
        <v/>
      </c>
      <c r="R1383" s="17">
        <f>IF($A1383="","",$A1383-WEEKDAY($A1383,2)+1)</f>
        <v/>
      </c>
    </row>
    <row r="1384">
      <c r="A1384" s="5" t="n"/>
      <c r="B1384" s="4" t="n"/>
      <c r="C1384" s="4" t="n"/>
      <c r="D1384" s="4" t="n"/>
      <c r="E1384" s="4" t="n"/>
      <c r="F1384" s="4" t="n"/>
      <c r="G1384" s="4" t="n"/>
      <c r="H1384" s="4" t="n"/>
      <c r="I1384" s="9">
        <f>IF($H1384="","",IFERROR(INDEX('Settings'!$J$10:$J$39,MATCH($H1384,'Settings'!$I$10:$I$39,0)),""))</f>
        <v/>
      </c>
      <c r="J1384" s="6" t="n"/>
      <c r="K1384" s="8" t="n"/>
      <c r="L1384" s="8" t="n"/>
      <c r="M1384" s="14">
        <f>IF($A1384="","",$J1384*$K1384)</f>
        <v/>
      </c>
      <c r="N1384" s="14">
        <f>IF($A1384="","",$M1384-$L1384)</f>
        <v/>
      </c>
      <c r="O1384" s="4" t="n"/>
      <c r="P1384" s="15">
        <f>IF($A1384="","",DATE(YEAR($A1384),MONTH($A1384),1))</f>
        <v/>
      </c>
      <c r="Q1384" s="16">
        <f>IF($H1384="","",$J1384*IFERROR(INDEX('Settings'!$L$10:$L$39,MATCH($H1384,'Settings'!$I$10:$I$39,0)),0))</f>
        <v/>
      </c>
      <c r="R1384" s="17">
        <f>IF($A1384="","",$A1384-WEEKDAY($A1384,2)+1)</f>
        <v/>
      </c>
    </row>
    <row r="1385">
      <c r="A1385" s="5" t="n"/>
      <c r="B1385" s="4" t="n"/>
      <c r="C1385" s="4" t="n"/>
      <c r="D1385" s="4" t="n"/>
      <c r="E1385" s="4" t="n"/>
      <c r="F1385" s="4" t="n"/>
      <c r="G1385" s="4" t="n"/>
      <c r="H1385" s="4" t="n"/>
      <c r="I1385" s="9">
        <f>IF($H1385="","",IFERROR(INDEX('Settings'!$J$10:$J$39,MATCH($H1385,'Settings'!$I$10:$I$39,0)),""))</f>
        <v/>
      </c>
      <c r="J1385" s="6" t="n"/>
      <c r="K1385" s="8" t="n"/>
      <c r="L1385" s="8" t="n"/>
      <c r="M1385" s="14">
        <f>IF($A1385="","",$J1385*$K1385)</f>
        <v/>
      </c>
      <c r="N1385" s="14">
        <f>IF($A1385="","",$M1385-$L1385)</f>
        <v/>
      </c>
      <c r="O1385" s="4" t="n"/>
      <c r="P1385" s="15">
        <f>IF($A1385="","",DATE(YEAR($A1385),MONTH($A1385),1))</f>
        <v/>
      </c>
      <c r="Q1385" s="16">
        <f>IF($H1385="","",$J1385*IFERROR(INDEX('Settings'!$L$10:$L$39,MATCH($H1385,'Settings'!$I$10:$I$39,0)),0))</f>
        <v/>
      </c>
      <c r="R1385" s="17">
        <f>IF($A1385="","",$A1385-WEEKDAY($A1385,2)+1)</f>
        <v/>
      </c>
    </row>
    <row r="1386">
      <c r="A1386" s="5" t="n"/>
      <c r="B1386" s="4" t="n"/>
      <c r="C1386" s="4" t="n"/>
      <c r="D1386" s="4" t="n"/>
      <c r="E1386" s="4" t="n"/>
      <c r="F1386" s="4" t="n"/>
      <c r="G1386" s="4" t="n"/>
      <c r="H1386" s="4" t="n"/>
      <c r="I1386" s="9">
        <f>IF($H1386="","",IFERROR(INDEX('Settings'!$J$10:$J$39,MATCH($H1386,'Settings'!$I$10:$I$39,0)),""))</f>
        <v/>
      </c>
      <c r="J1386" s="6" t="n"/>
      <c r="K1386" s="8" t="n"/>
      <c r="L1386" s="8" t="n"/>
      <c r="M1386" s="14">
        <f>IF($A1386="","",$J1386*$K1386)</f>
        <v/>
      </c>
      <c r="N1386" s="14">
        <f>IF($A1386="","",$M1386-$L1386)</f>
        <v/>
      </c>
      <c r="O1386" s="4" t="n"/>
      <c r="P1386" s="15">
        <f>IF($A1386="","",DATE(YEAR($A1386),MONTH($A1386),1))</f>
        <v/>
      </c>
      <c r="Q1386" s="16">
        <f>IF($H1386="","",$J1386*IFERROR(INDEX('Settings'!$L$10:$L$39,MATCH($H1386,'Settings'!$I$10:$I$39,0)),0))</f>
        <v/>
      </c>
      <c r="R1386" s="17">
        <f>IF($A1386="","",$A1386-WEEKDAY($A1386,2)+1)</f>
        <v/>
      </c>
    </row>
    <row r="1387">
      <c r="A1387" s="5" t="n"/>
      <c r="B1387" s="4" t="n"/>
      <c r="C1387" s="4" t="n"/>
      <c r="D1387" s="4" t="n"/>
      <c r="E1387" s="4" t="n"/>
      <c r="F1387" s="4" t="n"/>
      <c r="G1387" s="4" t="n"/>
      <c r="H1387" s="4" t="n"/>
      <c r="I1387" s="9">
        <f>IF($H1387="","",IFERROR(INDEX('Settings'!$J$10:$J$39,MATCH($H1387,'Settings'!$I$10:$I$39,0)),""))</f>
        <v/>
      </c>
      <c r="J1387" s="6" t="n"/>
      <c r="K1387" s="8" t="n"/>
      <c r="L1387" s="8" t="n"/>
      <c r="M1387" s="14">
        <f>IF($A1387="","",$J1387*$K1387)</f>
        <v/>
      </c>
      <c r="N1387" s="14">
        <f>IF($A1387="","",$M1387-$L1387)</f>
        <v/>
      </c>
      <c r="O1387" s="4" t="n"/>
      <c r="P1387" s="15">
        <f>IF($A1387="","",DATE(YEAR($A1387),MONTH($A1387),1))</f>
        <v/>
      </c>
      <c r="Q1387" s="16">
        <f>IF($H1387="","",$J1387*IFERROR(INDEX('Settings'!$L$10:$L$39,MATCH($H1387,'Settings'!$I$10:$I$39,0)),0))</f>
        <v/>
      </c>
      <c r="R1387" s="17">
        <f>IF($A1387="","",$A1387-WEEKDAY($A1387,2)+1)</f>
        <v/>
      </c>
    </row>
    <row r="1388">
      <c r="A1388" s="5" t="n"/>
      <c r="B1388" s="4" t="n"/>
      <c r="C1388" s="4" t="n"/>
      <c r="D1388" s="4" t="n"/>
      <c r="E1388" s="4" t="n"/>
      <c r="F1388" s="4" t="n"/>
      <c r="G1388" s="4" t="n"/>
      <c r="H1388" s="4" t="n"/>
      <c r="I1388" s="9">
        <f>IF($H1388="","",IFERROR(INDEX('Settings'!$J$10:$J$39,MATCH($H1388,'Settings'!$I$10:$I$39,0)),""))</f>
        <v/>
      </c>
      <c r="J1388" s="6" t="n"/>
      <c r="K1388" s="8" t="n"/>
      <c r="L1388" s="8" t="n"/>
      <c r="M1388" s="14">
        <f>IF($A1388="","",$J1388*$K1388)</f>
        <v/>
      </c>
      <c r="N1388" s="14">
        <f>IF($A1388="","",$M1388-$L1388)</f>
        <v/>
      </c>
      <c r="O1388" s="4" t="n"/>
      <c r="P1388" s="15">
        <f>IF($A1388="","",DATE(YEAR($A1388),MONTH($A1388),1))</f>
        <v/>
      </c>
      <c r="Q1388" s="16">
        <f>IF($H1388="","",$J1388*IFERROR(INDEX('Settings'!$L$10:$L$39,MATCH($H1388,'Settings'!$I$10:$I$39,0)),0))</f>
        <v/>
      </c>
      <c r="R1388" s="17">
        <f>IF($A1388="","",$A1388-WEEKDAY($A1388,2)+1)</f>
        <v/>
      </c>
    </row>
    <row r="1389">
      <c r="A1389" s="5" t="n"/>
      <c r="B1389" s="4" t="n"/>
      <c r="C1389" s="4" t="n"/>
      <c r="D1389" s="4" t="n"/>
      <c r="E1389" s="4" t="n"/>
      <c r="F1389" s="4" t="n"/>
      <c r="G1389" s="4" t="n"/>
      <c r="H1389" s="4" t="n"/>
      <c r="I1389" s="9">
        <f>IF($H1389="","",IFERROR(INDEX('Settings'!$J$10:$J$39,MATCH($H1389,'Settings'!$I$10:$I$39,0)),""))</f>
        <v/>
      </c>
      <c r="J1389" s="6" t="n"/>
      <c r="K1389" s="8" t="n"/>
      <c r="L1389" s="8" t="n"/>
      <c r="M1389" s="14">
        <f>IF($A1389="","",$J1389*$K1389)</f>
        <v/>
      </c>
      <c r="N1389" s="14">
        <f>IF($A1389="","",$M1389-$L1389)</f>
        <v/>
      </c>
      <c r="O1389" s="4" t="n"/>
      <c r="P1389" s="15">
        <f>IF($A1389="","",DATE(YEAR($A1389),MONTH($A1389),1))</f>
        <v/>
      </c>
      <c r="Q1389" s="16">
        <f>IF($H1389="","",$J1389*IFERROR(INDEX('Settings'!$L$10:$L$39,MATCH($H1389,'Settings'!$I$10:$I$39,0)),0))</f>
        <v/>
      </c>
      <c r="R1389" s="17">
        <f>IF($A1389="","",$A1389-WEEKDAY($A1389,2)+1)</f>
        <v/>
      </c>
    </row>
    <row r="1390">
      <c r="A1390" s="5" t="n"/>
      <c r="B1390" s="4" t="n"/>
      <c r="C1390" s="4" t="n"/>
      <c r="D1390" s="4" t="n"/>
      <c r="E1390" s="4" t="n"/>
      <c r="F1390" s="4" t="n"/>
      <c r="G1390" s="4" t="n"/>
      <c r="H1390" s="4" t="n"/>
      <c r="I1390" s="9">
        <f>IF($H1390="","",IFERROR(INDEX('Settings'!$J$10:$J$39,MATCH($H1390,'Settings'!$I$10:$I$39,0)),""))</f>
        <v/>
      </c>
      <c r="J1390" s="6" t="n"/>
      <c r="K1390" s="8" t="n"/>
      <c r="L1390" s="8" t="n"/>
      <c r="M1390" s="14">
        <f>IF($A1390="","",$J1390*$K1390)</f>
        <v/>
      </c>
      <c r="N1390" s="14">
        <f>IF($A1390="","",$M1390-$L1390)</f>
        <v/>
      </c>
      <c r="O1390" s="4" t="n"/>
      <c r="P1390" s="15">
        <f>IF($A1390="","",DATE(YEAR($A1390),MONTH($A1390),1))</f>
        <v/>
      </c>
      <c r="Q1390" s="16">
        <f>IF($H1390="","",$J1390*IFERROR(INDEX('Settings'!$L$10:$L$39,MATCH($H1390,'Settings'!$I$10:$I$39,0)),0))</f>
        <v/>
      </c>
      <c r="R1390" s="17">
        <f>IF($A1390="","",$A1390-WEEKDAY($A1390,2)+1)</f>
        <v/>
      </c>
    </row>
    <row r="1391">
      <c r="A1391" s="5" t="n"/>
      <c r="B1391" s="4" t="n"/>
      <c r="C1391" s="4" t="n"/>
      <c r="D1391" s="4" t="n"/>
      <c r="E1391" s="4" t="n"/>
      <c r="F1391" s="4" t="n"/>
      <c r="G1391" s="4" t="n"/>
      <c r="H1391" s="4" t="n"/>
      <c r="I1391" s="9">
        <f>IF($H1391="","",IFERROR(INDEX('Settings'!$J$10:$J$39,MATCH($H1391,'Settings'!$I$10:$I$39,0)),""))</f>
        <v/>
      </c>
      <c r="J1391" s="6" t="n"/>
      <c r="K1391" s="8" t="n"/>
      <c r="L1391" s="8" t="n"/>
      <c r="M1391" s="14">
        <f>IF($A1391="","",$J1391*$K1391)</f>
        <v/>
      </c>
      <c r="N1391" s="14">
        <f>IF($A1391="","",$M1391-$L1391)</f>
        <v/>
      </c>
      <c r="O1391" s="4" t="n"/>
      <c r="P1391" s="15">
        <f>IF($A1391="","",DATE(YEAR($A1391),MONTH($A1391),1))</f>
        <v/>
      </c>
      <c r="Q1391" s="16">
        <f>IF($H1391="","",$J1391*IFERROR(INDEX('Settings'!$L$10:$L$39,MATCH($H1391,'Settings'!$I$10:$I$39,0)),0))</f>
        <v/>
      </c>
      <c r="R1391" s="17">
        <f>IF($A1391="","",$A1391-WEEKDAY($A1391,2)+1)</f>
        <v/>
      </c>
    </row>
    <row r="1392">
      <c r="A1392" s="5" t="n"/>
      <c r="B1392" s="4" t="n"/>
      <c r="C1392" s="4" t="n"/>
      <c r="D1392" s="4" t="n"/>
      <c r="E1392" s="4" t="n"/>
      <c r="F1392" s="4" t="n"/>
      <c r="G1392" s="4" t="n"/>
      <c r="H1392" s="4" t="n"/>
      <c r="I1392" s="9">
        <f>IF($H1392="","",IFERROR(INDEX('Settings'!$J$10:$J$39,MATCH($H1392,'Settings'!$I$10:$I$39,0)),""))</f>
        <v/>
      </c>
      <c r="J1392" s="6" t="n"/>
      <c r="K1392" s="8" t="n"/>
      <c r="L1392" s="8" t="n"/>
      <c r="M1392" s="14">
        <f>IF($A1392="","",$J1392*$K1392)</f>
        <v/>
      </c>
      <c r="N1392" s="14">
        <f>IF($A1392="","",$M1392-$L1392)</f>
        <v/>
      </c>
      <c r="O1392" s="4" t="n"/>
      <c r="P1392" s="15">
        <f>IF($A1392="","",DATE(YEAR($A1392),MONTH($A1392),1))</f>
        <v/>
      </c>
      <c r="Q1392" s="16">
        <f>IF($H1392="","",$J1392*IFERROR(INDEX('Settings'!$L$10:$L$39,MATCH($H1392,'Settings'!$I$10:$I$39,0)),0))</f>
        <v/>
      </c>
      <c r="R1392" s="17">
        <f>IF($A1392="","",$A1392-WEEKDAY($A1392,2)+1)</f>
        <v/>
      </c>
    </row>
    <row r="1393">
      <c r="A1393" s="5" t="n"/>
      <c r="B1393" s="4" t="n"/>
      <c r="C1393" s="4" t="n"/>
      <c r="D1393" s="4" t="n"/>
      <c r="E1393" s="4" t="n"/>
      <c r="F1393" s="4" t="n"/>
      <c r="G1393" s="4" t="n"/>
      <c r="H1393" s="4" t="n"/>
      <c r="I1393" s="9">
        <f>IF($H1393="","",IFERROR(INDEX('Settings'!$J$10:$J$39,MATCH($H1393,'Settings'!$I$10:$I$39,0)),""))</f>
        <v/>
      </c>
      <c r="J1393" s="6" t="n"/>
      <c r="K1393" s="8" t="n"/>
      <c r="L1393" s="8" t="n"/>
      <c r="M1393" s="14">
        <f>IF($A1393="","",$J1393*$K1393)</f>
        <v/>
      </c>
      <c r="N1393" s="14">
        <f>IF($A1393="","",$M1393-$L1393)</f>
        <v/>
      </c>
      <c r="O1393" s="4" t="n"/>
      <c r="P1393" s="15">
        <f>IF($A1393="","",DATE(YEAR($A1393),MONTH($A1393),1))</f>
        <v/>
      </c>
      <c r="Q1393" s="16">
        <f>IF($H1393="","",$J1393*IFERROR(INDEX('Settings'!$L$10:$L$39,MATCH($H1393,'Settings'!$I$10:$I$39,0)),0))</f>
        <v/>
      </c>
      <c r="R1393" s="17">
        <f>IF($A1393="","",$A1393-WEEKDAY($A1393,2)+1)</f>
        <v/>
      </c>
    </row>
    <row r="1394">
      <c r="A1394" s="5" t="n"/>
      <c r="B1394" s="4" t="n"/>
      <c r="C1394" s="4" t="n"/>
      <c r="D1394" s="4" t="n"/>
      <c r="E1394" s="4" t="n"/>
      <c r="F1394" s="4" t="n"/>
      <c r="G1394" s="4" t="n"/>
      <c r="H1394" s="4" t="n"/>
      <c r="I1394" s="9">
        <f>IF($H1394="","",IFERROR(INDEX('Settings'!$J$10:$J$39,MATCH($H1394,'Settings'!$I$10:$I$39,0)),""))</f>
        <v/>
      </c>
      <c r="J1394" s="6" t="n"/>
      <c r="K1394" s="8" t="n"/>
      <c r="L1394" s="8" t="n"/>
      <c r="M1394" s="14">
        <f>IF($A1394="","",$J1394*$K1394)</f>
        <v/>
      </c>
      <c r="N1394" s="14">
        <f>IF($A1394="","",$M1394-$L1394)</f>
        <v/>
      </c>
      <c r="O1394" s="4" t="n"/>
      <c r="P1394" s="15">
        <f>IF($A1394="","",DATE(YEAR($A1394),MONTH($A1394),1))</f>
        <v/>
      </c>
      <c r="Q1394" s="16">
        <f>IF($H1394="","",$J1394*IFERROR(INDEX('Settings'!$L$10:$L$39,MATCH($H1394,'Settings'!$I$10:$I$39,0)),0))</f>
        <v/>
      </c>
      <c r="R1394" s="17">
        <f>IF($A1394="","",$A1394-WEEKDAY($A1394,2)+1)</f>
        <v/>
      </c>
    </row>
    <row r="1395">
      <c r="A1395" s="5" t="n"/>
      <c r="B1395" s="4" t="n"/>
      <c r="C1395" s="4" t="n"/>
      <c r="D1395" s="4" t="n"/>
      <c r="E1395" s="4" t="n"/>
      <c r="F1395" s="4" t="n"/>
      <c r="G1395" s="4" t="n"/>
      <c r="H1395" s="4" t="n"/>
      <c r="I1395" s="9">
        <f>IF($H1395="","",IFERROR(INDEX('Settings'!$J$10:$J$39,MATCH($H1395,'Settings'!$I$10:$I$39,0)),""))</f>
        <v/>
      </c>
      <c r="J1395" s="6" t="n"/>
      <c r="K1395" s="8" t="n"/>
      <c r="L1395" s="8" t="n"/>
      <c r="M1395" s="14">
        <f>IF($A1395="","",$J1395*$K1395)</f>
        <v/>
      </c>
      <c r="N1395" s="14">
        <f>IF($A1395="","",$M1395-$L1395)</f>
        <v/>
      </c>
      <c r="O1395" s="4" t="n"/>
      <c r="P1395" s="15">
        <f>IF($A1395="","",DATE(YEAR($A1395),MONTH($A1395),1))</f>
        <v/>
      </c>
      <c r="Q1395" s="16">
        <f>IF($H1395="","",$J1395*IFERROR(INDEX('Settings'!$L$10:$L$39,MATCH($H1395,'Settings'!$I$10:$I$39,0)),0))</f>
        <v/>
      </c>
      <c r="R1395" s="17">
        <f>IF($A1395="","",$A1395-WEEKDAY($A1395,2)+1)</f>
        <v/>
      </c>
    </row>
    <row r="1396">
      <c r="A1396" s="5" t="n"/>
      <c r="B1396" s="4" t="n"/>
      <c r="C1396" s="4" t="n"/>
      <c r="D1396" s="4" t="n"/>
      <c r="E1396" s="4" t="n"/>
      <c r="F1396" s="4" t="n"/>
      <c r="G1396" s="4" t="n"/>
      <c r="H1396" s="4" t="n"/>
      <c r="I1396" s="9">
        <f>IF($H1396="","",IFERROR(INDEX('Settings'!$J$10:$J$39,MATCH($H1396,'Settings'!$I$10:$I$39,0)),""))</f>
        <v/>
      </c>
      <c r="J1396" s="6" t="n"/>
      <c r="K1396" s="8" t="n"/>
      <c r="L1396" s="8" t="n"/>
      <c r="M1396" s="14">
        <f>IF($A1396="","",$J1396*$K1396)</f>
        <v/>
      </c>
      <c r="N1396" s="14">
        <f>IF($A1396="","",$M1396-$L1396)</f>
        <v/>
      </c>
      <c r="O1396" s="4" t="n"/>
      <c r="P1396" s="15">
        <f>IF($A1396="","",DATE(YEAR($A1396),MONTH($A1396),1))</f>
        <v/>
      </c>
      <c r="Q1396" s="16">
        <f>IF($H1396="","",$J1396*IFERROR(INDEX('Settings'!$L$10:$L$39,MATCH($H1396,'Settings'!$I$10:$I$39,0)),0))</f>
        <v/>
      </c>
      <c r="R1396" s="17">
        <f>IF($A1396="","",$A1396-WEEKDAY($A1396,2)+1)</f>
        <v/>
      </c>
    </row>
    <row r="1397">
      <c r="A1397" s="5" t="n"/>
      <c r="B1397" s="4" t="n"/>
      <c r="C1397" s="4" t="n"/>
      <c r="D1397" s="4" t="n"/>
      <c r="E1397" s="4" t="n"/>
      <c r="F1397" s="4" t="n"/>
      <c r="G1397" s="4" t="n"/>
      <c r="H1397" s="4" t="n"/>
      <c r="I1397" s="9">
        <f>IF($H1397="","",IFERROR(INDEX('Settings'!$J$10:$J$39,MATCH($H1397,'Settings'!$I$10:$I$39,0)),""))</f>
        <v/>
      </c>
      <c r="J1397" s="6" t="n"/>
      <c r="K1397" s="8" t="n"/>
      <c r="L1397" s="8" t="n"/>
      <c r="M1397" s="14">
        <f>IF($A1397="","",$J1397*$K1397)</f>
        <v/>
      </c>
      <c r="N1397" s="14">
        <f>IF($A1397="","",$M1397-$L1397)</f>
        <v/>
      </c>
      <c r="O1397" s="4" t="n"/>
      <c r="P1397" s="15">
        <f>IF($A1397="","",DATE(YEAR($A1397),MONTH($A1397),1))</f>
        <v/>
      </c>
      <c r="Q1397" s="16">
        <f>IF($H1397="","",$J1397*IFERROR(INDEX('Settings'!$L$10:$L$39,MATCH($H1397,'Settings'!$I$10:$I$39,0)),0))</f>
        <v/>
      </c>
      <c r="R1397" s="17">
        <f>IF($A1397="","",$A1397-WEEKDAY($A1397,2)+1)</f>
        <v/>
      </c>
    </row>
    <row r="1398">
      <c r="A1398" s="5" t="n"/>
      <c r="B1398" s="4" t="n"/>
      <c r="C1398" s="4" t="n"/>
      <c r="D1398" s="4" t="n"/>
      <c r="E1398" s="4" t="n"/>
      <c r="F1398" s="4" t="n"/>
      <c r="G1398" s="4" t="n"/>
      <c r="H1398" s="4" t="n"/>
      <c r="I1398" s="9">
        <f>IF($H1398="","",IFERROR(INDEX('Settings'!$J$10:$J$39,MATCH($H1398,'Settings'!$I$10:$I$39,0)),""))</f>
        <v/>
      </c>
      <c r="J1398" s="6" t="n"/>
      <c r="K1398" s="8" t="n"/>
      <c r="L1398" s="8" t="n"/>
      <c r="M1398" s="14">
        <f>IF($A1398="","",$J1398*$K1398)</f>
        <v/>
      </c>
      <c r="N1398" s="14">
        <f>IF($A1398="","",$M1398-$L1398)</f>
        <v/>
      </c>
      <c r="O1398" s="4" t="n"/>
      <c r="P1398" s="15">
        <f>IF($A1398="","",DATE(YEAR($A1398),MONTH($A1398),1))</f>
        <v/>
      </c>
      <c r="Q1398" s="16">
        <f>IF($H1398="","",$J1398*IFERROR(INDEX('Settings'!$L$10:$L$39,MATCH($H1398,'Settings'!$I$10:$I$39,0)),0))</f>
        <v/>
      </c>
      <c r="R1398" s="17">
        <f>IF($A1398="","",$A1398-WEEKDAY($A1398,2)+1)</f>
        <v/>
      </c>
    </row>
    <row r="1399">
      <c r="A1399" s="5" t="n"/>
      <c r="B1399" s="4" t="n"/>
      <c r="C1399" s="4" t="n"/>
      <c r="D1399" s="4" t="n"/>
      <c r="E1399" s="4" t="n"/>
      <c r="F1399" s="4" t="n"/>
      <c r="G1399" s="4" t="n"/>
      <c r="H1399" s="4" t="n"/>
      <c r="I1399" s="9">
        <f>IF($H1399="","",IFERROR(INDEX('Settings'!$J$10:$J$39,MATCH($H1399,'Settings'!$I$10:$I$39,0)),""))</f>
        <v/>
      </c>
      <c r="J1399" s="6" t="n"/>
      <c r="K1399" s="8" t="n"/>
      <c r="L1399" s="8" t="n"/>
      <c r="M1399" s="14">
        <f>IF($A1399="","",$J1399*$K1399)</f>
        <v/>
      </c>
      <c r="N1399" s="14">
        <f>IF($A1399="","",$M1399-$L1399)</f>
        <v/>
      </c>
      <c r="O1399" s="4" t="n"/>
      <c r="P1399" s="15">
        <f>IF($A1399="","",DATE(YEAR($A1399),MONTH($A1399),1))</f>
        <v/>
      </c>
      <c r="Q1399" s="16">
        <f>IF($H1399="","",$J1399*IFERROR(INDEX('Settings'!$L$10:$L$39,MATCH($H1399,'Settings'!$I$10:$I$39,0)),0))</f>
        <v/>
      </c>
      <c r="R1399" s="17">
        <f>IF($A1399="","",$A1399-WEEKDAY($A1399,2)+1)</f>
        <v/>
      </c>
    </row>
    <row r="1400">
      <c r="A1400" s="5" t="n"/>
      <c r="B1400" s="4" t="n"/>
      <c r="C1400" s="4" t="n"/>
      <c r="D1400" s="4" t="n"/>
      <c r="E1400" s="4" t="n"/>
      <c r="F1400" s="4" t="n"/>
      <c r="G1400" s="4" t="n"/>
      <c r="H1400" s="4" t="n"/>
      <c r="I1400" s="9">
        <f>IF($H1400="","",IFERROR(INDEX('Settings'!$J$10:$J$39,MATCH($H1400,'Settings'!$I$10:$I$39,0)),""))</f>
        <v/>
      </c>
      <c r="J1400" s="6" t="n"/>
      <c r="K1400" s="8" t="n"/>
      <c r="L1400" s="8" t="n"/>
      <c r="M1400" s="14">
        <f>IF($A1400="","",$J1400*$K1400)</f>
        <v/>
      </c>
      <c r="N1400" s="14">
        <f>IF($A1400="","",$M1400-$L1400)</f>
        <v/>
      </c>
      <c r="O1400" s="4" t="n"/>
      <c r="P1400" s="15">
        <f>IF($A1400="","",DATE(YEAR($A1400),MONTH($A1400),1))</f>
        <v/>
      </c>
      <c r="Q1400" s="16">
        <f>IF($H1400="","",$J1400*IFERROR(INDEX('Settings'!$L$10:$L$39,MATCH($H1400,'Settings'!$I$10:$I$39,0)),0))</f>
        <v/>
      </c>
      <c r="R1400" s="17">
        <f>IF($A1400="","",$A1400-WEEKDAY($A1400,2)+1)</f>
        <v/>
      </c>
    </row>
    <row r="1401">
      <c r="A1401" s="5" t="n"/>
      <c r="B1401" s="4" t="n"/>
      <c r="C1401" s="4" t="n"/>
      <c r="D1401" s="4" t="n"/>
      <c r="E1401" s="4" t="n"/>
      <c r="F1401" s="4" t="n"/>
      <c r="G1401" s="4" t="n"/>
      <c r="H1401" s="4" t="n"/>
      <c r="I1401" s="9">
        <f>IF($H1401="","",IFERROR(INDEX('Settings'!$J$10:$J$39,MATCH($H1401,'Settings'!$I$10:$I$39,0)),""))</f>
        <v/>
      </c>
      <c r="J1401" s="6" t="n"/>
      <c r="K1401" s="8" t="n"/>
      <c r="L1401" s="8" t="n"/>
      <c r="M1401" s="14">
        <f>IF($A1401="","",$J1401*$K1401)</f>
        <v/>
      </c>
      <c r="N1401" s="14">
        <f>IF($A1401="","",$M1401-$L1401)</f>
        <v/>
      </c>
      <c r="O1401" s="4" t="n"/>
      <c r="P1401" s="15">
        <f>IF($A1401="","",DATE(YEAR($A1401),MONTH($A1401),1))</f>
        <v/>
      </c>
      <c r="Q1401" s="16">
        <f>IF($H1401="","",$J1401*IFERROR(INDEX('Settings'!$L$10:$L$39,MATCH($H1401,'Settings'!$I$10:$I$39,0)),0))</f>
        <v/>
      </c>
      <c r="R1401" s="17">
        <f>IF($A1401="","",$A1401-WEEKDAY($A1401,2)+1)</f>
        <v/>
      </c>
    </row>
    <row r="1402">
      <c r="A1402" s="5" t="n"/>
      <c r="B1402" s="4" t="n"/>
      <c r="C1402" s="4" t="n"/>
      <c r="D1402" s="4" t="n"/>
      <c r="E1402" s="4" t="n"/>
      <c r="F1402" s="4" t="n"/>
      <c r="G1402" s="4" t="n"/>
      <c r="H1402" s="4" t="n"/>
      <c r="I1402" s="9">
        <f>IF($H1402="","",IFERROR(INDEX('Settings'!$J$10:$J$39,MATCH($H1402,'Settings'!$I$10:$I$39,0)),""))</f>
        <v/>
      </c>
      <c r="J1402" s="6" t="n"/>
      <c r="K1402" s="8" t="n"/>
      <c r="L1402" s="8" t="n"/>
      <c r="M1402" s="14">
        <f>IF($A1402="","",$J1402*$K1402)</f>
        <v/>
      </c>
      <c r="N1402" s="14">
        <f>IF($A1402="","",$M1402-$L1402)</f>
        <v/>
      </c>
      <c r="O1402" s="4" t="n"/>
      <c r="P1402" s="15">
        <f>IF($A1402="","",DATE(YEAR($A1402),MONTH($A1402),1))</f>
        <v/>
      </c>
      <c r="Q1402" s="16">
        <f>IF($H1402="","",$J1402*IFERROR(INDEX('Settings'!$L$10:$L$39,MATCH($H1402,'Settings'!$I$10:$I$39,0)),0))</f>
        <v/>
      </c>
      <c r="R1402" s="17">
        <f>IF($A1402="","",$A1402-WEEKDAY($A1402,2)+1)</f>
        <v/>
      </c>
    </row>
    <row r="1403">
      <c r="A1403" s="5" t="n"/>
      <c r="B1403" s="4" t="n"/>
      <c r="C1403" s="4" t="n"/>
      <c r="D1403" s="4" t="n"/>
      <c r="E1403" s="4" t="n"/>
      <c r="F1403" s="4" t="n"/>
      <c r="G1403" s="4" t="n"/>
      <c r="H1403" s="4" t="n"/>
      <c r="I1403" s="9">
        <f>IF($H1403="","",IFERROR(INDEX('Settings'!$J$10:$J$39,MATCH($H1403,'Settings'!$I$10:$I$39,0)),""))</f>
        <v/>
      </c>
      <c r="J1403" s="6" t="n"/>
      <c r="K1403" s="8" t="n"/>
      <c r="L1403" s="8" t="n"/>
      <c r="M1403" s="14">
        <f>IF($A1403="","",$J1403*$K1403)</f>
        <v/>
      </c>
      <c r="N1403" s="14">
        <f>IF($A1403="","",$M1403-$L1403)</f>
        <v/>
      </c>
      <c r="O1403" s="4" t="n"/>
      <c r="P1403" s="15">
        <f>IF($A1403="","",DATE(YEAR($A1403),MONTH($A1403),1))</f>
        <v/>
      </c>
      <c r="Q1403" s="16">
        <f>IF($H1403="","",$J1403*IFERROR(INDEX('Settings'!$L$10:$L$39,MATCH($H1403,'Settings'!$I$10:$I$39,0)),0))</f>
        <v/>
      </c>
      <c r="R1403" s="17">
        <f>IF($A1403="","",$A1403-WEEKDAY($A1403,2)+1)</f>
        <v/>
      </c>
    </row>
    <row r="1404">
      <c r="A1404" s="5" t="n"/>
      <c r="B1404" s="4" t="n"/>
      <c r="C1404" s="4" t="n"/>
      <c r="D1404" s="4" t="n"/>
      <c r="E1404" s="4" t="n"/>
      <c r="F1404" s="4" t="n"/>
      <c r="G1404" s="4" t="n"/>
      <c r="H1404" s="4" t="n"/>
      <c r="I1404" s="9">
        <f>IF($H1404="","",IFERROR(INDEX('Settings'!$J$10:$J$39,MATCH($H1404,'Settings'!$I$10:$I$39,0)),""))</f>
        <v/>
      </c>
      <c r="J1404" s="6" t="n"/>
      <c r="K1404" s="8" t="n"/>
      <c r="L1404" s="8" t="n"/>
      <c r="M1404" s="14">
        <f>IF($A1404="","",$J1404*$K1404)</f>
        <v/>
      </c>
      <c r="N1404" s="14">
        <f>IF($A1404="","",$M1404-$L1404)</f>
        <v/>
      </c>
      <c r="O1404" s="4" t="n"/>
      <c r="P1404" s="15">
        <f>IF($A1404="","",DATE(YEAR($A1404),MONTH($A1404),1))</f>
        <v/>
      </c>
      <c r="Q1404" s="16">
        <f>IF($H1404="","",$J1404*IFERROR(INDEX('Settings'!$L$10:$L$39,MATCH($H1404,'Settings'!$I$10:$I$39,0)),0))</f>
        <v/>
      </c>
      <c r="R1404" s="17">
        <f>IF($A1404="","",$A1404-WEEKDAY($A1404,2)+1)</f>
        <v/>
      </c>
    </row>
    <row r="1405">
      <c r="A1405" s="5" t="n"/>
      <c r="B1405" s="4" t="n"/>
      <c r="C1405" s="4" t="n"/>
      <c r="D1405" s="4" t="n"/>
      <c r="E1405" s="4" t="n"/>
      <c r="F1405" s="4" t="n"/>
      <c r="G1405" s="4" t="n"/>
      <c r="H1405" s="4" t="n"/>
      <c r="I1405" s="9">
        <f>IF($H1405="","",IFERROR(INDEX('Settings'!$J$10:$J$39,MATCH($H1405,'Settings'!$I$10:$I$39,0)),""))</f>
        <v/>
      </c>
      <c r="J1405" s="6" t="n"/>
      <c r="K1405" s="8" t="n"/>
      <c r="L1405" s="8" t="n"/>
      <c r="M1405" s="14">
        <f>IF($A1405="","",$J1405*$K1405)</f>
        <v/>
      </c>
      <c r="N1405" s="14">
        <f>IF($A1405="","",$M1405-$L1405)</f>
        <v/>
      </c>
      <c r="O1405" s="4" t="n"/>
      <c r="P1405" s="15">
        <f>IF($A1405="","",DATE(YEAR($A1405),MONTH($A1405),1))</f>
        <v/>
      </c>
      <c r="Q1405" s="16">
        <f>IF($H1405="","",$J1405*IFERROR(INDEX('Settings'!$L$10:$L$39,MATCH($H1405,'Settings'!$I$10:$I$39,0)),0))</f>
        <v/>
      </c>
      <c r="R1405" s="17">
        <f>IF($A1405="","",$A1405-WEEKDAY($A1405,2)+1)</f>
        <v/>
      </c>
    </row>
    <row r="1406">
      <c r="A1406" s="5" t="n"/>
      <c r="B1406" s="4" t="n"/>
      <c r="C1406" s="4" t="n"/>
      <c r="D1406" s="4" t="n"/>
      <c r="E1406" s="4" t="n"/>
      <c r="F1406" s="4" t="n"/>
      <c r="G1406" s="4" t="n"/>
      <c r="H1406" s="4" t="n"/>
      <c r="I1406" s="9">
        <f>IF($H1406="","",IFERROR(INDEX('Settings'!$J$10:$J$39,MATCH($H1406,'Settings'!$I$10:$I$39,0)),""))</f>
        <v/>
      </c>
      <c r="J1406" s="6" t="n"/>
      <c r="K1406" s="8" t="n"/>
      <c r="L1406" s="8" t="n"/>
      <c r="M1406" s="14">
        <f>IF($A1406="","",$J1406*$K1406)</f>
        <v/>
      </c>
      <c r="N1406" s="14">
        <f>IF($A1406="","",$M1406-$L1406)</f>
        <v/>
      </c>
      <c r="O1406" s="4" t="n"/>
      <c r="P1406" s="15">
        <f>IF($A1406="","",DATE(YEAR($A1406),MONTH($A1406),1))</f>
        <v/>
      </c>
      <c r="Q1406" s="16">
        <f>IF($H1406="","",$J1406*IFERROR(INDEX('Settings'!$L$10:$L$39,MATCH($H1406,'Settings'!$I$10:$I$39,0)),0))</f>
        <v/>
      </c>
      <c r="R1406" s="17">
        <f>IF($A1406="","",$A1406-WEEKDAY($A1406,2)+1)</f>
        <v/>
      </c>
    </row>
    <row r="1407">
      <c r="A1407" s="5" t="n"/>
      <c r="B1407" s="4" t="n"/>
      <c r="C1407" s="4" t="n"/>
      <c r="D1407" s="4" t="n"/>
      <c r="E1407" s="4" t="n"/>
      <c r="F1407" s="4" t="n"/>
      <c r="G1407" s="4" t="n"/>
      <c r="H1407" s="4" t="n"/>
      <c r="I1407" s="9">
        <f>IF($H1407="","",IFERROR(INDEX('Settings'!$J$10:$J$39,MATCH($H1407,'Settings'!$I$10:$I$39,0)),""))</f>
        <v/>
      </c>
      <c r="J1407" s="6" t="n"/>
      <c r="K1407" s="8" t="n"/>
      <c r="L1407" s="8" t="n"/>
      <c r="M1407" s="14">
        <f>IF($A1407="","",$J1407*$K1407)</f>
        <v/>
      </c>
      <c r="N1407" s="14">
        <f>IF($A1407="","",$M1407-$L1407)</f>
        <v/>
      </c>
      <c r="O1407" s="4" t="n"/>
      <c r="P1407" s="15">
        <f>IF($A1407="","",DATE(YEAR($A1407),MONTH($A1407),1))</f>
        <v/>
      </c>
      <c r="Q1407" s="16">
        <f>IF($H1407="","",$J1407*IFERROR(INDEX('Settings'!$L$10:$L$39,MATCH($H1407,'Settings'!$I$10:$I$39,0)),0))</f>
        <v/>
      </c>
      <c r="R1407" s="17">
        <f>IF($A1407="","",$A1407-WEEKDAY($A1407,2)+1)</f>
        <v/>
      </c>
    </row>
    <row r="1408">
      <c r="A1408" s="5" t="n"/>
      <c r="B1408" s="4" t="n"/>
      <c r="C1408" s="4" t="n"/>
      <c r="D1408" s="4" t="n"/>
      <c r="E1408" s="4" t="n"/>
      <c r="F1408" s="4" t="n"/>
      <c r="G1408" s="4" t="n"/>
      <c r="H1408" s="4" t="n"/>
      <c r="I1408" s="9">
        <f>IF($H1408="","",IFERROR(INDEX('Settings'!$J$10:$J$39,MATCH($H1408,'Settings'!$I$10:$I$39,0)),""))</f>
        <v/>
      </c>
      <c r="J1408" s="6" t="n"/>
      <c r="K1408" s="8" t="n"/>
      <c r="L1408" s="8" t="n"/>
      <c r="M1408" s="14">
        <f>IF($A1408="","",$J1408*$K1408)</f>
        <v/>
      </c>
      <c r="N1408" s="14">
        <f>IF($A1408="","",$M1408-$L1408)</f>
        <v/>
      </c>
      <c r="O1408" s="4" t="n"/>
      <c r="P1408" s="15">
        <f>IF($A1408="","",DATE(YEAR($A1408),MONTH($A1408),1))</f>
        <v/>
      </c>
      <c r="Q1408" s="16">
        <f>IF($H1408="","",$J1408*IFERROR(INDEX('Settings'!$L$10:$L$39,MATCH($H1408,'Settings'!$I$10:$I$39,0)),0))</f>
        <v/>
      </c>
      <c r="R1408" s="17">
        <f>IF($A1408="","",$A1408-WEEKDAY($A1408,2)+1)</f>
        <v/>
      </c>
    </row>
    <row r="1409">
      <c r="A1409" s="5" t="n"/>
      <c r="B1409" s="4" t="n"/>
      <c r="C1409" s="4" t="n"/>
      <c r="D1409" s="4" t="n"/>
      <c r="E1409" s="4" t="n"/>
      <c r="F1409" s="4" t="n"/>
      <c r="G1409" s="4" t="n"/>
      <c r="H1409" s="4" t="n"/>
      <c r="I1409" s="9">
        <f>IF($H1409="","",IFERROR(INDEX('Settings'!$J$10:$J$39,MATCH($H1409,'Settings'!$I$10:$I$39,0)),""))</f>
        <v/>
      </c>
      <c r="J1409" s="6" t="n"/>
      <c r="K1409" s="8" t="n"/>
      <c r="L1409" s="8" t="n"/>
      <c r="M1409" s="14">
        <f>IF($A1409="","",$J1409*$K1409)</f>
        <v/>
      </c>
      <c r="N1409" s="14">
        <f>IF($A1409="","",$M1409-$L1409)</f>
        <v/>
      </c>
      <c r="O1409" s="4" t="n"/>
      <c r="P1409" s="15">
        <f>IF($A1409="","",DATE(YEAR($A1409),MONTH($A1409),1))</f>
        <v/>
      </c>
      <c r="Q1409" s="16">
        <f>IF($H1409="","",$J1409*IFERROR(INDEX('Settings'!$L$10:$L$39,MATCH($H1409,'Settings'!$I$10:$I$39,0)),0))</f>
        <v/>
      </c>
      <c r="R1409" s="17">
        <f>IF($A1409="","",$A1409-WEEKDAY($A1409,2)+1)</f>
        <v/>
      </c>
    </row>
    <row r="1410">
      <c r="A1410" s="5" t="n"/>
      <c r="B1410" s="4" t="n"/>
      <c r="C1410" s="4" t="n"/>
      <c r="D1410" s="4" t="n"/>
      <c r="E1410" s="4" t="n"/>
      <c r="F1410" s="4" t="n"/>
      <c r="G1410" s="4" t="n"/>
      <c r="H1410" s="4" t="n"/>
      <c r="I1410" s="9">
        <f>IF($H1410="","",IFERROR(INDEX('Settings'!$J$10:$J$39,MATCH($H1410,'Settings'!$I$10:$I$39,0)),""))</f>
        <v/>
      </c>
      <c r="J1410" s="6" t="n"/>
      <c r="K1410" s="8" t="n"/>
      <c r="L1410" s="8" t="n"/>
      <c r="M1410" s="14">
        <f>IF($A1410="","",$J1410*$K1410)</f>
        <v/>
      </c>
      <c r="N1410" s="14">
        <f>IF($A1410="","",$M1410-$L1410)</f>
        <v/>
      </c>
      <c r="O1410" s="4" t="n"/>
      <c r="P1410" s="15">
        <f>IF($A1410="","",DATE(YEAR($A1410),MONTH($A1410),1))</f>
        <v/>
      </c>
      <c r="Q1410" s="16">
        <f>IF($H1410="","",$J1410*IFERROR(INDEX('Settings'!$L$10:$L$39,MATCH($H1410,'Settings'!$I$10:$I$39,0)),0))</f>
        <v/>
      </c>
      <c r="R1410" s="17">
        <f>IF($A1410="","",$A1410-WEEKDAY($A1410,2)+1)</f>
        <v/>
      </c>
    </row>
    <row r="1411">
      <c r="A1411" s="5" t="n"/>
      <c r="B1411" s="4" t="n"/>
      <c r="C1411" s="4" t="n"/>
      <c r="D1411" s="4" t="n"/>
      <c r="E1411" s="4" t="n"/>
      <c r="F1411" s="4" t="n"/>
      <c r="G1411" s="4" t="n"/>
      <c r="H1411" s="4" t="n"/>
      <c r="I1411" s="9">
        <f>IF($H1411="","",IFERROR(INDEX('Settings'!$J$10:$J$39,MATCH($H1411,'Settings'!$I$10:$I$39,0)),""))</f>
        <v/>
      </c>
      <c r="J1411" s="6" t="n"/>
      <c r="K1411" s="8" t="n"/>
      <c r="L1411" s="8" t="n"/>
      <c r="M1411" s="14">
        <f>IF($A1411="","",$J1411*$K1411)</f>
        <v/>
      </c>
      <c r="N1411" s="14">
        <f>IF($A1411="","",$M1411-$L1411)</f>
        <v/>
      </c>
      <c r="O1411" s="4" t="n"/>
      <c r="P1411" s="15">
        <f>IF($A1411="","",DATE(YEAR($A1411),MONTH($A1411),1))</f>
        <v/>
      </c>
      <c r="Q1411" s="16">
        <f>IF($H1411="","",$J1411*IFERROR(INDEX('Settings'!$L$10:$L$39,MATCH($H1411,'Settings'!$I$10:$I$39,0)),0))</f>
        <v/>
      </c>
      <c r="R1411" s="17">
        <f>IF($A1411="","",$A1411-WEEKDAY($A1411,2)+1)</f>
        <v/>
      </c>
    </row>
    <row r="1412">
      <c r="A1412" s="5" t="n"/>
      <c r="B1412" s="4" t="n"/>
      <c r="C1412" s="4" t="n"/>
      <c r="D1412" s="4" t="n"/>
      <c r="E1412" s="4" t="n"/>
      <c r="F1412" s="4" t="n"/>
      <c r="G1412" s="4" t="n"/>
      <c r="H1412" s="4" t="n"/>
      <c r="I1412" s="9">
        <f>IF($H1412="","",IFERROR(INDEX('Settings'!$J$10:$J$39,MATCH($H1412,'Settings'!$I$10:$I$39,0)),""))</f>
        <v/>
      </c>
      <c r="J1412" s="6" t="n"/>
      <c r="K1412" s="8" t="n"/>
      <c r="L1412" s="8" t="n"/>
      <c r="M1412" s="14">
        <f>IF($A1412="","",$J1412*$K1412)</f>
        <v/>
      </c>
      <c r="N1412" s="14">
        <f>IF($A1412="","",$M1412-$L1412)</f>
        <v/>
      </c>
      <c r="O1412" s="4" t="n"/>
      <c r="P1412" s="15">
        <f>IF($A1412="","",DATE(YEAR($A1412),MONTH($A1412),1))</f>
        <v/>
      </c>
      <c r="Q1412" s="16">
        <f>IF($H1412="","",$J1412*IFERROR(INDEX('Settings'!$L$10:$L$39,MATCH($H1412,'Settings'!$I$10:$I$39,0)),0))</f>
        <v/>
      </c>
      <c r="R1412" s="17">
        <f>IF($A1412="","",$A1412-WEEKDAY($A1412,2)+1)</f>
        <v/>
      </c>
    </row>
    <row r="1413">
      <c r="A1413" s="5" t="n"/>
      <c r="B1413" s="4" t="n"/>
      <c r="C1413" s="4" t="n"/>
      <c r="D1413" s="4" t="n"/>
      <c r="E1413" s="4" t="n"/>
      <c r="F1413" s="4" t="n"/>
      <c r="G1413" s="4" t="n"/>
      <c r="H1413" s="4" t="n"/>
      <c r="I1413" s="9">
        <f>IF($H1413="","",IFERROR(INDEX('Settings'!$J$10:$J$39,MATCH($H1413,'Settings'!$I$10:$I$39,0)),""))</f>
        <v/>
      </c>
      <c r="J1413" s="6" t="n"/>
      <c r="K1413" s="8" t="n"/>
      <c r="L1413" s="8" t="n"/>
      <c r="M1413" s="14">
        <f>IF($A1413="","",$J1413*$K1413)</f>
        <v/>
      </c>
      <c r="N1413" s="14">
        <f>IF($A1413="","",$M1413-$L1413)</f>
        <v/>
      </c>
      <c r="O1413" s="4" t="n"/>
      <c r="P1413" s="15">
        <f>IF($A1413="","",DATE(YEAR($A1413),MONTH($A1413),1))</f>
        <v/>
      </c>
      <c r="Q1413" s="16">
        <f>IF($H1413="","",$J1413*IFERROR(INDEX('Settings'!$L$10:$L$39,MATCH($H1413,'Settings'!$I$10:$I$39,0)),0))</f>
        <v/>
      </c>
      <c r="R1413" s="17">
        <f>IF($A1413="","",$A1413-WEEKDAY($A1413,2)+1)</f>
        <v/>
      </c>
    </row>
    <row r="1414">
      <c r="A1414" s="5" t="n"/>
      <c r="B1414" s="4" t="n"/>
      <c r="C1414" s="4" t="n"/>
      <c r="D1414" s="4" t="n"/>
      <c r="E1414" s="4" t="n"/>
      <c r="F1414" s="4" t="n"/>
      <c r="G1414" s="4" t="n"/>
      <c r="H1414" s="4" t="n"/>
      <c r="I1414" s="9">
        <f>IF($H1414="","",IFERROR(INDEX('Settings'!$J$10:$J$39,MATCH($H1414,'Settings'!$I$10:$I$39,0)),""))</f>
        <v/>
      </c>
      <c r="J1414" s="6" t="n"/>
      <c r="K1414" s="8" t="n"/>
      <c r="L1414" s="8" t="n"/>
      <c r="M1414" s="14">
        <f>IF($A1414="","",$J1414*$K1414)</f>
        <v/>
      </c>
      <c r="N1414" s="14">
        <f>IF($A1414="","",$M1414-$L1414)</f>
        <v/>
      </c>
      <c r="O1414" s="4" t="n"/>
      <c r="P1414" s="15">
        <f>IF($A1414="","",DATE(YEAR($A1414),MONTH($A1414),1))</f>
        <v/>
      </c>
      <c r="Q1414" s="16">
        <f>IF($H1414="","",$J1414*IFERROR(INDEX('Settings'!$L$10:$L$39,MATCH($H1414,'Settings'!$I$10:$I$39,0)),0))</f>
        <v/>
      </c>
      <c r="R1414" s="17">
        <f>IF($A1414="","",$A1414-WEEKDAY($A1414,2)+1)</f>
        <v/>
      </c>
    </row>
    <row r="1415">
      <c r="A1415" s="5" t="n"/>
      <c r="B1415" s="4" t="n"/>
      <c r="C1415" s="4" t="n"/>
      <c r="D1415" s="4" t="n"/>
      <c r="E1415" s="4" t="n"/>
      <c r="F1415" s="4" t="n"/>
      <c r="G1415" s="4" t="n"/>
      <c r="H1415" s="4" t="n"/>
      <c r="I1415" s="9">
        <f>IF($H1415="","",IFERROR(INDEX('Settings'!$J$10:$J$39,MATCH($H1415,'Settings'!$I$10:$I$39,0)),""))</f>
        <v/>
      </c>
      <c r="J1415" s="6" t="n"/>
      <c r="K1415" s="8" t="n"/>
      <c r="L1415" s="8" t="n"/>
      <c r="M1415" s="14">
        <f>IF($A1415="","",$J1415*$K1415)</f>
        <v/>
      </c>
      <c r="N1415" s="14">
        <f>IF($A1415="","",$M1415-$L1415)</f>
        <v/>
      </c>
      <c r="O1415" s="4" t="n"/>
      <c r="P1415" s="15">
        <f>IF($A1415="","",DATE(YEAR($A1415),MONTH($A1415),1))</f>
        <v/>
      </c>
      <c r="Q1415" s="16">
        <f>IF($H1415="","",$J1415*IFERROR(INDEX('Settings'!$L$10:$L$39,MATCH($H1415,'Settings'!$I$10:$I$39,0)),0))</f>
        <v/>
      </c>
      <c r="R1415" s="17">
        <f>IF($A1415="","",$A1415-WEEKDAY($A1415,2)+1)</f>
        <v/>
      </c>
    </row>
    <row r="1416">
      <c r="A1416" s="5" t="n"/>
      <c r="B1416" s="4" t="n"/>
      <c r="C1416" s="4" t="n"/>
      <c r="D1416" s="4" t="n"/>
      <c r="E1416" s="4" t="n"/>
      <c r="F1416" s="4" t="n"/>
      <c r="G1416" s="4" t="n"/>
      <c r="H1416" s="4" t="n"/>
      <c r="I1416" s="9">
        <f>IF($H1416="","",IFERROR(INDEX('Settings'!$J$10:$J$39,MATCH($H1416,'Settings'!$I$10:$I$39,0)),""))</f>
        <v/>
      </c>
      <c r="J1416" s="6" t="n"/>
      <c r="K1416" s="8" t="n"/>
      <c r="L1416" s="8" t="n"/>
      <c r="M1416" s="14">
        <f>IF($A1416="","",$J1416*$K1416)</f>
        <v/>
      </c>
      <c r="N1416" s="14">
        <f>IF($A1416="","",$M1416-$L1416)</f>
        <v/>
      </c>
      <c r="O1416" s="4" t="n"/>
      <c r="P1416" s="15">
        <f>IF($A1416="","",DATE(YEAR($A1416),MONTH($A1416),1))</f>
        <v/>
      </c>
      <c r="Q1416" s="16">
        <f>IF($H1416="","",$J1416*IFERROR(INDEX('Settings'!$L$10:$L$39,MATCH($H1416,'Settings'!$I$10:$I$39,0)),0))</f>
        <v/>
      </c>
      <c r="R1416" s="17">
        <f>IF($A1416="","",$A1416-WEEKDAY($A1416,2)+1)</f>
        <v/>
      </c>
    </row>
    <row r="1417">
      <c r="A1417" s="5" t="n"/>
      <c r="B1417" s="4" t="n"/>
      <c r="C1417" s="4" t="n"/>
      <c r="D1417" s="4" t="n"/>
      <c r="E1417" s="4" t="n"/>
      <c r="F1417" s="4" t="n"/>
      <c r="G1417" s="4" t="n"/>
      <c r="H1417" s="4" t="n"/>
      <c r="I1417" s="9">
        <f>IF($H1417="","",IFERROR(INDEX('Settings'!$J$10:$J$39,MATCH($H1417,'Settings'!$I$10:$I$39,0)),""))</f>
        <v/>
      </c>
      <c r="J1417" s="6" t="n"/>
      <c r="K1417" s="8" t="n"/>
      <c r="L1417" s="8" t="n"/>
      <c r="M1417" s="14">
        <f>IF($A1417="","",$J1417*$K1417)</f>
        <v/>
      </c>
      <c r="N1417" s="14">
        <f>IF($A1417="","",$M1417-$L1417)</f>
        <v/>
      </c>
      <c r="O1417" s="4" t="n"/>
      <c r="P1417" s="15">
        <f>IF($A1417="","",DATE(YEAR($A1417),MONTH($A1417),1))</f>
        <v/>
      </c>
      <c r="Q1417" s="16">
        <f>IF($H1417="","",$J1417*IFERROR(INDEX('Settings'!$L$10:$L$39,MATCH($H1417,'Settings'!$I$10:$I$39,0)),0))</f>
        <v/>
      </c>
      <c r="R1417" s="17">
        <f>IF($A1417="","",$A1417-WEEKDAY($A1417,2)+1)</f>
        <v/>
      </c>
    </row>
    <row r="1418">
      <c r="A1418" s="5" t="n"/>
      <c r="B1418" s="4" t="n"/>
      <c r="C1418" s="4" t="n"/>
      <c r="D1418" s="4" t="n"/>
      <c r="E1418" s="4" t="n"/>
      <c r="F1418" s="4" t="n"/>
      <c r="G1418" s="4" t="n"/>
      <c r="H1418" s="4" t="n"/>
      <c r="I1418" s="9">
        <f>IF($H1418="","",IFERROR(INDEX('Settings'!$J$10:$J$39,MATCH($H1418,'Settings'!$I$10:$I$39,0)),""))</f>
        <v/>
      </c>
      <c r="J1418" s="6" t="n"/>
      <c r="K1418" s="8" t="n"/>
      <c r="L1418" s="8" t="n"/>
      <c r="M1418" s="14">
        <f>IF($A1418="","",$J1418*$K1418)</f>
        <v/>
      </c>
      <c r="N1418" s="14">
        <f>IF($A1418="","",$M1418-$L1418)</f>
        <v/>
      </c>
      <c r="O1418" s="4" t="n"/>
      <c r="P1418" s="15">
        <f>IF($A1418="","",DATE(YEAR($A1418),MONTH($A1418),1))</f>
        <v/>
      </c>
      <c r="Q1418" s="16">
        <f>IF($H1418="","",$J1418*IFERROR(INDEX('Settings'!$L$10:$L$39,MATCH($H1418,'Settings'!$I$10:$I$39,0)),0))</f>
        <v/>
      </c>
      <c r="R1418" s="17">
        <f>IF($A1418="","",$A1418-WEEKDAY($A1418,2)+1)</f>
        <v/>
      </c>
    </row>
    <row r="1419">
      <c r="A1419" s="5" t="n"/>
      <c r="B1419" s="4" t="n"/>
      <c r="C1419" s="4" t="n"/>
      <c r="D1419" s="4" t="n"/>
      <c r="E1419" s="4" t="n"/>
      <c r="F1419" s="4" t="n"/>
      <c r="G1419" s="4" t="n"/>
      <c r="H1419" s="4" t="n"/>
      <c r="I1419" s="9">
        <f>IF($H1419="","",IFERROR(INDEX('Settings'!$J$10:$J$39,MATCH($H1419,'Settings'!$I$10:$I$39,0)),""))</f>
        <v/>
      </c>
      <c r="J1419" s="6" t="n"/>
      <c r="K1419" s="8" t="n"/>
      <c r="L1419" s="8" t="n"/>
      <c r="M1419" s="14">
        <f>IF($A1419="","",$J1419*$K1419)</f>
        <v/>
      </c>
      <c r="N1419" s="14">
        <f>IF($A1419="","",$M1419-$L1419)</f>
        <v/>
      </c>
      <c r="O1419" s="4" t="n"/>
      <c r="P1419" s="15">
        <f>IF($A1419="","",DATE(YEAR($A1419),MONTH($A1419),1))</f>
        <v/>
      </c>
      <c r="Q1419" s="16">
        <f>IF($H1419="","",$J1419*IFERROR(INDEX('Settings'!$L$10:$L$39,MATCH($H1419,'Settings'!$I$10:$I$39,0)),0))</f>
        <v/>
      </c>
      <c r="R1419" s="17">
        <f>IF($A1419="","",$A1419-WEEKDAY($A1419,2)+1)</f>
        <v/>
      </c>
    </row>
    <row r="1420">
      <c r="A1420" s="5" t="n"/>
      <c r="B1420" s="4" t="n"/>
      <c r="C1420" s="4" t="n"/>
      <c r="D1420" s="4" t="n"/>
      <c r="E1420" s="4" t="n"/>
      <c r="F1420" s="4" t="n"/>
      <c r="G1420" s="4" t="n"/>
      <c r="H1420" s="4" t="n"/>
      <c r="I1420" s="9">
        <f>IF($H1420="","",IFERROR(INDEX('Settings'!$J$10:$J$39,MATCH($H1420,'Settings'!$I$10:$I$39,0)),""))</f>
        <v/>
      </c>
      <c r="J1420" s="6" t="n"/>
      <c r="K1420" s="8" t="n"/>
      <c r="L1420" s="8" t="n"/>
      <c r="M1420" s="14">
        <f>IF($A1420="","",$J1420*$K1420)</f>
        <v/>
      </c>
      <c r="N1420" s="14">
        <f>IF($A1420="","",$M1420-$L1420)</f>
        <v/>
      </c>
      <c r="O1420" s="4" t="n"/>
      <c r="P1420" s="15">
        <f>IF($A1420="","",DATE(YEAR($A1420),MONTH($A1420),1))</f>
        <v/>
      </c>
      <c r="Q1420" s="16">
        <f>IF($H1420="","",$J1420*IFERROR(INDEX('Settings'!$L$10:$L$39,MATCH($H1420,'Settings'!$I$10:$I$39,0)),0))</f>
        <v/>
      </c>
      <c r="R1420" s="17">
        <f>IF($A1420="","",$A1420-WEEKDAY($A1420,2)+1)</f>
        <v/>
      </c>
    </row>
    <row r="1421">
      <c r="A1421" s="5" t="n"/>
      <c r="B1421" s="4" t="n"/>
      <c r="C1421" s="4" t="n"/>
      <c r="D1421" s="4" t="n"/>
      <c r="E1421" s="4" t="n"/>
      <c r="F1421" s="4" t="n"/>
      <c r="G1421" s="4" t="n"/>
      <c r="H1421" s="4" t="n"/>
      <c r="I1421" s="9">
        <f>IF($H1421="","",IFERROR(INDEX('Settings'!$J$10:$J$39,MATCH($H1421,'Settings'!$I$10:$I$39,0)),""))</f>
        <v/>
      </c>
      <c r="J1421" s="6" t="n"/>
      <c r="K1421" s="8" t="n"/>
      <c r="L1421" s="8" t="n"/>
      <c r="M1421" s="14">
        <f>IF($A1421="","",$J1421*$K1421)</f>
        <v/>
      </c>
      <c r="N1421" s="14">
        <f>IF($A1421="","",$M1421-$L1421)</f>
        <v/>
      </c>
      <c r="O1421" s="4" t="n"/>
      <c r="P1421" s="15">
        <f>IF($A1421="","",DATE(YEAR($A1421),MONTH($A1421),1))</f>
        <v/>
      </c>
      <c r="Q1421" s="16">
        <f>IF($H1421="","",$J1421*IFERROR(INDEX('Settings'!$L$10:$L$39,MATCH($H1421,'Settings'!$I$10:$I$39,0)),0))</f>
        <v/>
      </c>
      <c r="R1421" s="17">
        <f>IF($A1421="","",$A1421-WEEKDAY($A1421,2)+1)</f>
        <v/>
      </c>
    </row>
    <row r="1422">
      <c r="A1422" s="5" t="n"/>
      <c r="B1422" s="4" t="n"/>
      <c r="C1422" s="4" t="n"/>
      <c r="D1422" s="4" t="n"/>
      <c r="E1422" s="4" t="n"/>
      <c r="F1422" s="4" t="n"/>
      <c r="G1422" s="4" t="n"/>
      <c r="H1422" s="4" t="n"/>
      <c r="I1422" s="9">
        <f>IF($H1422="","",IFERROR(INDEX('Settings'!$J$10:$J$39,MATCH($H1422,'Settings'!$I$10:$I$39,0)),""))</f>
        <v/>
      </c>
      <c r="J1422" s="6" t="n"/>
      <c r="K1422" s="8" t="n"/>
      <c r="L1422" s="8" t="n"/>
      <c r="M1422" s="14">
        <f>IF($A1422="","",$J1422*$K1422)</f>
        <v/>
      </c>
      <c r="N1422" s="14">
        <f>IF($A1422="","",$M1422-$L1422)</f>
        <v/>
      </c>
      <c r="O1422" s="4" t="n"/>
      <c r="P1422" s="15">
        <f>IF($A1422="","",DATE(YEAR($A1422),MONTH($A1422),1))</f>
        <v/>
      </c>
      <c r="Q1422" s="16">
        <f>IF($H1422="","",$J1422*IFERROR(INDEX('Settings'!$L$10:$L$39,MATCH($H1422,'Settings'!$I$10:$I$39,0)),0))</f>
        <v/>
      </c>
      <c r="R1422" s="17">
        <f>IF($A1422="","",$A1422-WEEKDAY($A1422,2)+1)</f>
        <v/>
      </c>
    </row>
    <row r="1423">
      <c r="A1423" s="5" t="n"/>
      <c r="B1423" s="4" t="n"/>
      <c r="C1423" s="4" t="n"/>
      <c r="D1423" s="4" t="n"/>
      <c r="E1423" s="4" t="n"/>
      <c r="F1423" s="4" t="n"/>
      <c r="G1423" s="4" t="n"/>
      <c r="H1423" s="4" t="n"/>
      <c r="I1423" s="9">
        <f>IF($H1423="","",IFERROR(INDEX('Settings'!$J$10:$J$39,MATCH($H1423,'Settings'!$I$10:$I$39,0)),""))</f>
        <v/>
      </c>
      <c r="J1423" s="6" t="n"/>
      <c r="K1423" s="8" t="n"/>
      <c r="L1423" s="8" t="n"/>
      <c r="M1423" s="14">
        <f>IF($A1423="","",$J1423*$K1423)</f>
        <v/>
      </c>
      <c r="N1423" s="14">
        <f>IF($A1423="","",$M1423-$L1423)</f>
        <v/>
      </c>
      <c r="O1423" s="4" t="n"/>
      <c r="P1423" s="15">
        <f>IF($A1423="","",DATE(YEAR($A1423),MONTH($A1423),1))</f>
        <v/>
      </c>
      <c r="Q1423" s="16">
        <f>IF($H1423="","",$J1423*IFERROR(INDEX('Settings'!$L$10:$L$39,MATCH($H1423,'Settings'!$I$10:$I$39,0)),0))</f>
        <v/>
      </c>
      <c r="R1423" s="17">
        <f>IF($A1423="","",$A1423-WEEKDAY($A1423,2)+1)</f>
        <v/>
      </c>
    </row>
    <row r="1424">
      <c r="A1424" s="5" t="n"/>
      <c r="B1424" s="4" t="n"/>
      <c r="C1424" s="4" t="n"/>
      <c r="D1424" s="4" t="n"/>
      <c r="E1424" s="4" t="n"/>
      <c r="F1424" s="4" t="n"/>
      <c r="G1424" s="4" t="n"/>
      <c r="H1424" s="4" t="n"/>
      <c r="I1424" s="9">
        <f>IF($H1424="","",IFERROR(INDEX('Settings'!$J$10:$J$39,MATCH($H1424,'Settings'!$I$10:$I$39,0)),""))</f>
        <v/>
      </c>
      <c r="J1424" s="6" t="n"/>
      <c r="K1424" s="8" t="n"/>
      <c r="L1424" s="8" t="n"/>
      <c r="M1424" s="14">
        <f>IF($A1424="","",$J1424*$K1424)</f>
        <v/>
      </c>
      <c r="N1424" s="14">
        <f>IF($A1424="","",$M1424-$L1424)</f>
        <v/>
      </c>
      <c r="O1424" s="4" t="n"/>
      <c r="P1424" s="15">
        <f>IF($A1424="","",DATE(YEAR($A1424),MONTH($A1424),1))</f>
        <v/>
      </c>
      <c r="Q1424" s="16">
        <f>IF($H1424="","",$J1424*IFERROR(INDEX('Settings'!$L$10:$L$39,MATCH($H1424,'Settings'!$I$10:$I$39,0)),0))</f>
        <v/>
      </c>
      <c r="R1424" s="17">
        <f>IF($A1424="","",$A1424-WEEKDAY($A1424,2)+1)</f>
        <v/>
      </c>
    </row>
    <row r="1425">
      <c r="A1425" s="5" t="n"/>
      <c r="B1425" s="4" t="n"/>
      <c r="C1425" s="4" t="n"/>
      <c r="D1425" s="4" t="n"/>
      <c r="E1425" s="4" t="n"/>
      <c r="F1425" s="4" t="n"/>
      <c r="G1425" s="4" t="n"/>
      <c r="H1425" s="4" t="n"/>
      <c r="I1425" s="9">
        <f>IF($H1425="","",IFERROR(INDEX('Settings'!$J$10:$J$39,MATCH($H1425,'Settings'!$I$10:$I$39,0)),""))</f>
        <v/>
      </c>
      <c r="J1425" s="6" t="n"/>
      <c r="K1425" s="8" t="n"/>
      <c r="L1425" s="8" t="n"/>
      <c r="M1425" s="14">
        <f>IF($A1425="","",$J1425*$K1425)</f>
        <v/>
      </c>
      <c r="N1425" s="14">
        <f>IF($A1425="","",$M1425-$L1425)</f>
        <v/>
      </c>
      <c r="O1425" s="4" t="n"/>
      <c r="P1425" s="15">
        <f>IF($A1425="","",DATE(YEAR($A1425),MONTH($A1425),1))</f>
        <v/>
      </c>
      <c r="Q1425" s="16">
        <f>IF($H1425="","",$J1425*IFERROR(INDEX('Settings'!$L$10:$L$39,MATCH($H1425,'Settings'!$I$10:$I$39,0)),0))</f>
        <v/>
      </c>
      <c r="R1425" s="17">
        <f>IF($A1425="","",$A1425-WEEKDAY($A1425,2)+1)</f>
        <v/>
      </c>
    </row>
    <row r="1426">
      <c r="A1426" s="5" t="n"/>
      <c r="B1426" s="4" t="n"/>
      <c r="C1426" s="4" t="n"/>
      <c r="D1426" s="4" t="n"/>
      <c r="E1426" s="4" t="n"/>
      <c r="F1426" s="4" t="n"/>
      <c r="G1426" s="4" t="n"/>
      <c r="H1426" s="4" t="n"/>
      <c r="I1426" s="9">
        <f>IF($H1426="","",IFERROR(INDEX('Settings'!$J$10:$J$39,MATCH($H1426,'Settings'!$I$10:$I$39,0)),""))</f>
        <v/>
      </c>
      <c r="J1426" s="6" t="n"/>
      <c r="K1426" s="8" t="n"/>
      <c r="L1426" s="8" t="n"/>
      <c r="M1426" s="14">
        <f>IF($A1426="","",$J1426*$K1426)</f>
        <v/>
      </c>
      <c r="N1426" s="14">
        <f>IF($A1426="","",$M1426-$L1426)</f>
        <v/>
      </c>
      <c r="O1426" s="4" t="n"/>
      <c r="P1426" s="15">
        <f>IF($A1426="","",DATE(YEAR($A1426),MONTH($A1426),1))</f>
        <v/>
      </c>
      <c r="Q1426" s="16">
        <f>IF($H1426="","",$J1426*IFERROR(INDEX('Settings'!$L$10:$L$39,MATCH($H1426,'Settings'!$I$10:$I$39,0)),0))</f>
        <v/>
      </c>
      <c r="R1426" s="17">
        <f>IF($A1426="","",$A1426-WEEKDAY($A1426,2)+1)</f>
        <v/>
      </c>
    </row>
    <row r="1427">
      <c r="A1427" s="5" t="n"/>
      <c r="B1427" s="4" t="n"/>
      <c r="C1427" s="4" t="n"/>
      <c r="D1427" s="4" t="n"/>
      <c r="E1427" s="4" t="n"/>
      <c r="F1427" s="4" t="n"/>
      <c r="G1427" s="4" t="n"/>
      <c r="H1427" s="4" t="n"/>
      <c r="I1427" s="9">
        <f>IF($H1427="","",IFERROR(INDEX('Settings'!$J$10:$J$39,MATCH($H1427,'Settings'!$I$10:$I$39,0)),""))</f>
        <v/>
      </c>
      <c r="J1427" s="6" t="n"/>
      <c r="K1427" s="8" t="n"/>
      <c r="L1427" s="8" t="n"/>
      <c r="M1427" s="14">
        <f>IF($A1427="","",$J1427*$K1427)</f>
        <v/>
      </c>
      <c r="N1427" s="14">
        <f>IF($A1427="","",$M1427-$L1427)</f>
        <v/>
      </c>
      <c r="O1427" s="4" t="n"/>
      <c r="P1427" s="15">
        <f>IF($A1427="","",DATE(YEAR($A1427),MONTH($A1427),1))</f>
        <v/>
      </c>
      <c r="Q1427" s="16">
        <f>IF($H1427="","",$J1427*IFERROR(INDEX('Settings'!$L$10:$L$39,MATCH($H1427,'Settings'!$I$10:$I$39,0)),0))</f>
        <v/>
      </c>
      <c r="R1427" s="17">
        <f>IF($A1427="","",$A1427-WEEKDAY($A1427,2)+1)</f>
        <v/>
      </c>
    </row>
    <row r="1428">
      <c r="A1428" s="5" t="n"/>
      <c r="B1428" s="4" t="n"/>
      <c r="C1428" s="4" t="n"/>
      <c r="D1428" s="4" t="n"/>
      <c r="E1428" s="4" t="n"/>
      <c r="F1428" s="4" t="n"/>
      <c r="G1428" s="4" t="n"/>
      <c r="H1428" s="4" t="n"/>
      <c r="I1428" s="9">
        <f>IF($H1428="","",IFERROR(INDEX('Settings'!$J$10:$J$39,MATCH($H1428,'Settings'!$I$10:$I$39,0)),""))</f>
        <v/>
      </c>
      <c r="J1428" s="6" t="n"/>
      <c r="K1428" s="8" t="n"/>
      <c r="L1428" s="8" t="n"/>
      <c r="M1428" s="14">
        <f>IF($A1428="","",$J1428*$K1428)</f>
        <v/>
      </c>
      <c r="N1428" s="14">
        <f>IF($A1428="","",$M1428-$L1428)</f>
        <v/>
      </c>
      <c r="O1428" s="4" t="n"/>
      <c r="P1428" s="15">
        <f>IF($A1428="","",DATE(YEAR($A1428),MONTH($A1428),1))</f>
        <v/>
      </c>
      <c r="Q1428" s="16">
        <f>IF($H1428="","",$J1428*IFERROR(INDEX('Settings'!$L$10:$L$39,MATCH($H1428,'Settings'!$I$10:$I$39,0)),0))</f>
        <v/>
      </c>
      <c r="R1428" s="17">
        <f>IF($A1428="","",$A1428-WEEKDAY($A1428,2)+1)</f>
        <v/>
      </c>
    </row>
    <row r="1429">
      <c r="A1429" s="5" t="n"/>
      <c r="B1429" s="4" t="n"/>
      <c r="C1429" s="4" t="n"/>
      <c r="D1429" s="4" t="n"/>
      <c r="E1429" s="4" t="n"/>
      <c r="F1429" s="4" t="n"/>
      <c r="G1429" s="4" t="n"/>
      <c r="H1429" s="4" t="n"/>
      <c r="I1429" s="9">
        <f>IF($H1429="","",IFERROR(INDEX('Settings'!$J$10:$J$39,MATCH($H1429,'Settings'!$I$10:$I$39,0)),""))</f>
        <v/>
      </c>
      <c r="J1429" s="6" t="n"/>
      <c r="K1429" s="8" t="n"/>
      <c r="L1429" s="8" t="n"/>
      <c r="M1429" s="14">
        <f>IF($A1429="","",$J1429*$K1429)</f>
        <v/>
      </c>
      <c r="N1429" s="14">
        <f>IF($A1429="","",$M1429-$L1429)</f>
        <v/>
      </c>
      <c r="O1429" s="4" t="n"/>
      <c r="P1429" s="15">
        <f>IF($A1429="","",DATE(YEAR($A1429),MONTH($A1429),1))</f>
        <v/>
      </c>
      <c r="Q1429" s="16">
        <f>IF($H1429="","",$J1429*IFERROR(INDEX('Settings'!$L$10:$L$39,MATCH($H1429,'Settings'!$I$10:$I$39,0)),0))</f>
        <v/>
      </c>
      <c r="R1429" s="17">
        <f>IF($A1429="","",$A1429-WEEKDAY($A1429,2)+1)</f>
        <v/>
      </c>
    </row>
    <row r="1430">
      <c r="A1430" s="5" t="n"/>
      <c r="B1430" s="4" t="n"/>
      <c r="C1430" s="4" t="n"/>
      <c r="D1430" s="4" t="n"/>
      <c r="E1430" s="4" t="n"/>
      <c r="F1430" s="4" t="n"/>
      <c r="G1430" s="4" t="n"/>
      <c r="H1430" s="4" t="n"/>
      <c r="I1430" s="9">
        <f>IF($H1430="","",IFERROR(INDEX('Settings'!$J$10:$J$39,MATCH($H1430,'Settings'!$I$10:$I$39,0)),""))</f>
        <v/>
      </c>
      <c r="J1430" s="6" t="n"/>
      <c r="K1430" s="8" t="n"/>
      <c r="L1430" s="8" t="n"/>
      <c r="M1430" s="14">
        <f>IF($A1430="","",$J1430*$K1430)</f>
        <v/>
      </c>
      <c r="N1430" s="14">
        <f>IF($A1430="","",$M1430-$L1430)</f>
        <v/>
      </c>
      <c r="O1430" s="4" t="n"/>
      <c r="P1430" s="15">
        <f>IF($A1430="","",DATE(YEAR($A1430),MONTH($A1430),1))</f>
        <v/>
      </c>
      <c r="Q1430" s="16">
        <f>IF($H1430="","",$J1430*IFERROR(INDEX('Settings'!$L$10:$L$39,MATCH($H1430,'Settings'!$I$10:$I$39,0)),0))</f>
        <v/>
      </c>
      <c r="R1430" s="17">
        <f>IF($A1430="","",$A1430-WEEKDAY($A1430,2)+1)</f>
        <v/>
      </c>
    </row>
    <row r="1431">
      <c r="A1431" s="5" t="n"/>
      <c r="B1431" s="4" t="n"/>
      <c r="C1431" s="4" t="n"/>
      <c r="D1431" s="4" t="n"/>
      <c r="E1431" s="4" t="n"/>
      <c r="F1431" s="4" t="n"/>
      <c r="G1431" s="4" t="n"/>
      <c r="H1431" s="4" t="n"/>
      <c r="I1431" s="9">
        <f>IF($H1431="","",IFERROR(INDEX('Settings'!$J$10:$J$39,MATCH($H1431,'Settings'!$I$10:$I$39,0)),""))</f>
        <v/>
      </c>
      <c r="J1431" s="6" t="n"/>
      <c r="K1431" s="8" t="n"/>
      <c r="L1431" s="8" t="n"/>
      <c r="M1431" s="14">
        <f>IF($A1431="","",$J1431*$K1431)</f>
        <v/>
      </c>
      <c r="N1431" s="14">
        <f>IF($A1431="","",$M1431-$L1431)</f>
        <v/>
      </c>
      <c r="O1431" s="4" t="n"/>
      <c r="P1431" s="15">
        <f>IF($A1431="","",DATE(YEAR($A1431),MONTH($A1431),1))</f>
        <v/>
      </c>
      <c r="Q1431" s="16">
        <f>IF($H1431="","",$J1431*IFERROR(INDEX('Settings'!$L$10:$L$39,MATCH($H1431,'Settings'!$I$10:$I$39,0)),0))</f>
        <v/>
      </c>
      <c r="R1431" s="17">
        <f>IF($A1431="","",$A1431-WEEKDAY($A1431,2)+1)</f>
        <v/>
      </c>
    </row>
    <row r="1432">
      <c r="A1432" s="5" t="n"/>
      <c r="B1432" s="4" t="n"/>
      <c r="C1432" s="4" t="n"/>
      <c r="D1432" s="4" t="n"/>
      <c r="E1432" s="4" t="n"/>
      <c r="F1432" s="4" t="n"/>
      <c r="G1432" s="4" t="n"/>
      <c r="H1432" s="4" t="n"/>
      <c r="I1432" s="9">
        <f>IF($H1432="","",IFERROR(INDEX('Settings'!$J$10:$J$39,MATCH($H1432,'Settings'!$I$10:$I$39,0)),""))</f>
        <v/>
      </c>
      <c r="J1432" s="6" t="n"/>
      <c r="K1432" s="8" t="n"/>
      <c r="L1432" s="8" t="n"/>
      <c r="M1432" s="14">
        <f>IF($A1432="","",$J1432*$K1432)</f>
        <v/>
      </c>
      <c r="N1432" s="14">
        <f>IF($A1432="","",$M1432-$L1432)</f>
        <v/>
      </c>
      <c r="O1432" s="4" t="n"/>
      <c r="P1432" s="15">
        <f>IF($A1432="","",DATE(YEAR($A1432),MONTH($A1432),1))</f>
        <v/>
      </c>
      <c r="Q1432" s="16">
        <f>IF($H1432="","",$J1432*IFERROR(INDEX('Settings'!$L$10:$L$39,MATCH($H1432,'Settings'!$I$10:$I$39,0)),0))</f>
        <v/>
      </c>
      <c r="R1432" s="17">
        <f>IF($A1432="","",$A1432-WEEKDAY($A1432,2)+1)</f>
        <v/>
      </c>
    </row>
    <row r="1433">
      <c r="A1433" s="5" t="n"/>
      <c r="B1433" s="4" t="n"/>
      <c r="C1433" s="4" t="n"/>
      <c r="D1433" s="4" t="n"/>
      <c r="E1433" s="4" t="n"/>
      <c r="F1433" s="4" t="n"/>
      <c r="G1433" s="4" t="n"/>
      <c r="H1433" s="4" t="n"/>
      <c r="I1433" s="9">
        <f>IF($H1433="","",IFERROR(INDEX('Settings'!$J$10:$J$39,MATCH($H1433,'Settings'!$I$10:$I$39,0)),""))</f>
        <v/>
      </c>
      <c r="J1433" s="6" t="n"/>
      <c r="K1433" s="8" t="n"/>
      <c r="L1433" s="8" t="n"/>
      <c r="M1433" s="14">
        <f>IF($A1433="","",$J1433*$K1433)</f>
        <v/>
      </c>
      <c r="N1433" s="14">
        <f>IF($A1433="","",$M1433-$L1433)</f>
        <v/>
      </c>
      <c r="O1433" s="4" t="n"/>
      <c r="P1433" s="15">
        <f>IF($A1433="","",DATE(YEAR($A1433),MONTH($A1433),1))</f>
        <v/>
      </c>
      <c r="Q1433" s="16">
        <f>IF($H1433="","",$J1433*IFERROR(INDEX('Settings'!$L$10:$L$39,MATCH($H1433,'Settings'!$I$10:$I$39,0)),0))</f>
        <v/>
      </c>
      <c r="R1433" s="17">
        <f>IF($A1433="","",$A1433-WEEKDAY($A1433,2)+1)</f>
        <v/>
      </c>
    </row>
    <row r="1434">
      <c r="A1434" s="5" t="n"/>
      <c r="B1434" s="4" t="n"/>
      <c r="C1434" s="4" t="n"/>
      <c r="D1434" s="4" t="n"/>
      <c r="E1434" s="4" t="n"/>
      <c r="F1434" s="4" t="n"/>
      <c r="G1434" s="4" t="n"/>
      <c r="H1434" s="4" t="n"/>
      <c r="I1434" s="9">
        <f>IF($H1434="","",IFERROR(INDEX('Settings'!$J$10:$J$39,MATCH($H1434,'Settings'!$I$10:$I$39,0)),""))</f>
        <v/>
      </c>
      <c r="J1434" s="6" t="n"/>
      <c r="K1434" s="8" t="n"/>
      <c r="L1434" s="8" t="n"/>
      <c r="M1434" s="14">
        <f>IF($A1434="","",$J1434*$K1434)</f>
        <v/>
      </c>
      <c r="N1434" s="14">
        <f>IF($A1434="","",$M1434-$L1434)</f>
        <v/>
      </c>
      <c r="O1434" s="4" t="n"/>
      <c r="P1434" s="15">
        <f>IF($A1434="","",DATE(YEAR($A1434),MONTH($A1434),1))</f>
        <v/>
      </c>
      <c r="Q1434" s="16">
        <f>IF($H1434="","",$J1434*IFERROR(INDEX('Settings'!$L$10:$L$39,MATCH($H1434,'Settings'!$I$10:$I$39,0)),0))</f>
        <v/>
      </c>
      <c r="R1434" s="17">
        <f>IF($A1434="","",$A1434-WEEKDAY($A1434,2)+1)</f>
        <v/>
      </c>
    </row>
    <row r="1435">
      <c r="A1435" s="5" t="n"/>
      <c r="B1435" s="4" t="n"/>
      <c r="C1435" s="4" t="n"/>
      <c r="D1435" s="4" t="n"/>
      <c r="E1435" s="4" t="n"/>
      <c r="F1435" s="4" t="n"/>
      <c r="G1435" s="4" t="n"/>
      <c r="H1435" s="4" t="n"/>
      <c r="I1435" s="9">
        <f>IF($H1435="","",IFERROR(INDEX('Settings'!$J$10:$J$39,MATCH($H1435,'Settings'!$I$10:$I$39,0)),""))</f>
        <v/>
      </c>
      <c r="J1435" s="6" t="n"/>
      <c r="K1435" s="8" t="n"/>
      <c r="L1435" s="8" t="n"/>
      <c r="M1435" s="14">
        <f>IF($A1435="","",$J1435*$K1435)</f>
        <v/>
      </c>
      <c r="N1435" s="14">
        <f>IF($A1435="","",$M1435-$L1435)</f>
        <v/>
      </c>
      <c r="O1435" s="4" t="n"/>
      <c r="P1435" s="15">
        <f>IF($A1435="","",DATE(YEAR($A1435),MONTH($A1435),1))</f>
        <v/>
      </c>
      <c r="Q1435" s="16">
        <f>IF($H1435="","",$J1435*IFERROR(INDEX('Settings'!$L$10:$L$39,MATCH($H1435,'Settings'!$I$10:$I$39,0)),0))</f>
        <v/>
      </c>
      <c r="R1435" s="17">
        <f>IF($A1435="","",$A1435-WEEKDAY($A1435,2)+1)</f>
        <v/>
      </c>
    </row>
    <row r="1436">
      <c r="A1436" s="5" t="n"/>
      <c r="B1436" s="4" t="n"/>
      <c r="C1436" s="4" t="n"/>
      <c r="D1436" s="4" t="n"/>
      <c r="E1436" s="4" t="n"/>
      <c r="F1436" s="4" t="n"/>
      <c r="G1436" s="4" t="n"/>
      <c r="H1436" s="4" t="n"/>
      <c r="I1436" s="9">
        <f>IF($H1436="","",IFERROR(INDEX('Settings'!$J$10:$J$39,MATCH($H1436,'Settings'!$I$10:$I$39,0)),""))</f>
        <v/>
      </c>
      <c r="J1436" s="6" t="n"/>
      <c r="K1436" s="8" t="n"/>
      <c r="L1436" s="8" t="n"/>
      <c r="M1436" s="14">
        <f>IF($A1436="","",$J1436*$K1436)</f>
        <v/>
      </c>
      <c r="N1436" s="14">
        <f>IF($A1436="","",$M1436-$L1436)</f>
        <v/>
      </c>
      <c r="O1436" s="4" t="n"/>
      <c r="P1436" s="15">
        <f>IF($A1436="","",DATE(YEAR($A1436),MONTH($A1436),1))</f>
        <v/>
      </c>
      <c r="Q1436" s="16">
        <f>IF($H1436="","",$J1436*IFERROR(INDEX('Settings'!$L$10:$L$39,MATCH($H1436,'Settings'!$I$10:$I$39,0)),0))</f>
        <v/>
      </c>
      <c r="R1436" s="17">
        <f>IF($A1436="","",$A1436-WEEKDAY($A1436,2)+1)</f>
        <v/>
      </c>
    </row>
    <row r="1437">
      <c r="A1437" s="5" t="n"/>
      <c r="B1437" s="4" t="n"/>
      <c r="C1437" s="4" t="n"/>
      <c r="D1437" s="4" t="n"/>
      <c r="E1437" s="4" t="n"/>
      <c r="F1437" s="4" t="n"/>
      <c r="G1437" s="4" t="n"/>
      <c r="H1437" s="4" t="n"/>
      <c r="I1437" s="9">
        <f>IF($H1437="","",IFERROR(INDEX('Settings'!$J$10:$J$39,MATCH($H1437,'Settings'!$I$10:$I$39,0)),""))</f>
        <v/>
      </c>
      <c r="J1437" s="6" t="n"/>
      <c r="K1437" s="8" t="n"/>
      <c r="L1437" s="8" t="n"/>
      <c r="M1437" s="14">
        <f>IF($A1437="","",$J1437*$K1437)</f>
        <v/>
      </c>
      <c r="N1437" s="14">
        <f>IF($A1437="","",$M1437-$L1437)</f>
        <v/>
      </c>
      <c r="O1437" s="4" t="n"/>
      <c r="P1437" s="15">
        <f>IF($A1437="","",DATE(YEAR($A1437),MONTH($A1437),1))</f>
        <v/>
      </c>
      <c r="Q1437" s="16">
        <f>IF($H1437="","",$J1437*IFERROR(INDEX('Settings'!$L$10:$L$39,MATCH($H1437,'Settings'!$I$10:$I$39,0)),0))</f>
        <v/>
      </c>
      <c r="R1437" s="17">
        <f>IF($A1437="","",$A1437-WEEKDAY($A1437,2)+1)</f>
        <v/>
      </c>
    </row>
    <row r="1438">
      <c r="A1438" s="5" t="n"/>
      <c r="B1438" s="4" t="n"/>
      <c r="C1438" s="4" t="n"/>
      <c r="D1438" s="4" t="n"/>
      <c r="E1438" s="4" t="n"/>
      <c r="F1438" s="4" t="n"/>
      <c r="G1438" s="4" t="n"/>
      <c r="H1438" s="4" t="n"/>
      <c r="I1438" s="9">
        <f>IF($H1438="","",IFERROR(INDEX('Settings'!$J$10:$J$39,MATCH($H1438,'Settings'!$I$10:$I$39,0)),""))</f>
        <v/>
      </c>
      <c r="J1438" s="6" t="n"/>
      <c r="K1438" s="8" t="n"/>
      <c r="L1438" s="8" t="n"/>
      <c r="M1438" s="14">
        <f>IF($A1438="","",$J1438*$K1438)</f>
        <v/>
      </c>
      <c r="N1438" s="14">
        <f>IF($A1438="","",$M1438-$L1438)</f>
        <v/>
      </c>
      <c r="O1438" s="4" t="n"/>
      <c r="P1438" s="15">
        <f>IF($A1438="","",DATE(YEAR($A1438),MONTH($A1438),1))</f>
        <v/>
      </c>
      <c r="Q1438" s="16">
        <f>IF($H1438="","",$J1438*IFERROR(INDEX('Settings'!$L$10:$L$39,MATCH($H1438,'Settings'!$I$10:$I$39,0)),0))</f>
        <v/>
      </c>
      <c r="R1438" s="17">
        <f>IF($A1438="","",$A1438-WEEKDAY($A1438,2)+1)</f>
        <v/>
      </c>
    </row>
    <row r="1439">
      <c r="A1439" s="5" t="n"/>
      <c r="B1439" s="4" t="n"/>
      <c r="C1439" s="4" t="n"/>
      <c r="D1439" s="4" t="n"/>
      <c r="E1439" s="4" t="n"/>
      <c r="F1439" s="4" t="n"/>
      <c r="G1439" s="4" t="n"/>
      <c r="H1439" s="4" t="n"/>
      <c r="I1439" s="9">
        <f>IF($H1439="","",IFERROR(INDEX('Settings'!$J$10:$J$39,MATCH($H1439,'Settings'!$I$10:$I$39,0)),""))</f>
        <v/>
      </c>
      <c r="J1439" s="6" t="n"/>
      <c r="K1439" s="8" t="n"/>
      <c r="L1439" s="8" t="n"/>
      <c r="M1439" s="14">
        <f>IF($A1439="","",$J1439*$K1439)</f>
        <v/>
      </c>
      <c r="N1439" s="14">
        <f>IF($A1439="","",$M1439-$L1439)</f>
        <v/>
      </c>
      <c r="O1439" s="4" t="n"/>
      <c r="P1439" s="15">
        <f>IF($A1439="","",DATE(YEAR($A1439),MONTH($A1439),1))</f>
        <v/>
      </c>
      <c r="Q1439" s="16">
        <f>IF($H1439="","",$J1439*IFERROR(INDEX('Settings'!$L$10:$L$39,MATCH($H1439,'Settings'!$I$10:$I$39,0)),0))</f>
        <v/>
      </c>
      <c r="R1439" s="17">
        <f>IF($A1439="","",$A1439-WEEKDAY($A1439,2)+1)</f>
        <v/>
      </c>
    </row>
    <row r="1440">
      <c r="A1440" s="5" t="n"/>
      <c r="B1440" s="4" t="n"/>
      <c r="C1440" s="4" t="n"/>
      <c r="D1440" s="4" t="n"/>
      <c r="E1440" s="4" t="n"/>
      <c r="F1440" s="4" t="n"/>
      <c r="G1440" s="4" t="n"/>
      <c r="H1440" s="4" t="n"/>
      <c r="I1440" s="9">
        <f>IF($H1440="","",IFERROR(INDEX('Settings'!$J$10:$J$39,MATCH($H1440,'Settings'!$I$10:$I$39,0)),""))</f>
        <v/>
      </c>
      <c r="J1440" s="6" t="n"/>
      <c r="K1440" s="8" t="n"/>
      <c r="L1440" s="8" t="n"/>
      <c r="M1440" s="14">
        <f>IF($A1440="","",$J1440*$K1440)</f>
        <v/>
      </c>
      <c r="N1440" s="14">
        <f>IF($A1440="","",$M1440-$L1440)</f>
        <v/>
      </c>
      <c r="O1440" s="4" t="n"/>
      <c r="P1440" s="15">
        <f>IF($A1440="","",DATE(YEAR($A1440),MONTH($A1440),1))</f>
        <v/>
      </c>
      <c r="Q1440" s="16">
        <f>IF($H1440="","",$J1440*IFERROR(INDEX('Settings'!$L$10:$L$39,MATCH($H1440,'Settings'!$I$10:$I$39,0)),0))</f>
        <v/>
      </c>
      <c r="R1440" s="17">
        <f>IF($A1440="","",$A1440-WEEKDAY($A1440,2)+1)</f>
        <v/>
      </c>
    </row>
    <row r="1441">
      <c r="A1441" s="5" t="n"/>
      <c r="B1441" s="4" t="n"/>
      <c r="C1441" s="4" t="n"/>
      <c r="D1441" s="4" t="n"/>
      <c r="E1441" s="4" t="n"/>
      <c r="F1441" s="4" t="n"/>
      <c r="G1441" s="4" t="n"/>
      <c r="H1441" s="4" t="n"/>
      <c r="I1441" s="9">
        <f>IF($H1441="","",IFERROR(INDEX('Settings'!$J$10:$J$39,MATCH($H1441,'Settings'!$I$10:$I$39,0)),""))</f>
        <v/>
      </c>
      <c r="J1441" s="6" t="n"/>
      <c r="K1441" s="8" t="n"/>
      <c r="L1441" s="8" t="n"/>
      <c r="M1441" s="14">
        <f>IF($A1441="","",$J1441*$K1441)</f>
        <v/>
      </c>
      <c r="N1441" s="14">
        <f>IF($A1441="","",$M1441-$L1441)</f>
        <v/>
      </c>
      <c r="O1441" s="4" t="n"/>
      <c r="P1441" s="15">
        <f>IF($A1441="","",DATE(YEAR($A1441),MONTH($A1441),1))</f>
        <v/>
      </c>
      <c r="Q1441" s="16">
        <f>IF($H1441="","",$J1441*IFERROR(INDEX('Settings'!$L$10:$L$39,MATCH($H1441,'Settings'!$I$10:$I$39,0)),0))</f>
        <v/>
      </c>
      <c r="R1441" s="17">
        <f>IF($A1441="","",$A1441-WEEKDAY($A1441,2)+1)</f>
        <v/>
      </c>
    </row>
    <row r="1442">
      <c r="A1442" s="5" t="n"/>
      <c r="B1442" s="4" t="n"/>
      <c r="C1442" s="4" t="n"/>
      <c r="D1442" s="4" t="n"/>
      <c r="E1442" s="4" t="n"/>
      <c r="F1442" s="4" t="n"/>
      <c r="G1442" s="4" t="n"/>
      <c r="H1442" s="4" t="n"/>
      <c r="I1442" s="9">
        <f>IF($H1442="","",IFERROR(INDEX('Settings'!$J$10:$J$39,MATCH($H1442,'Settings'!$I$10:$I$39,0)),""))</f>
        <v/>
      </c>
      <c r="J1442" s="6" t="n"/>
      <c r="K1442" s="8" t="n"/>
      <c r="L1442" s="8" t="n"/>
      <c r="M1442" s="14">
        <f>IF($A1442="","",$J1442*$K1442)</f>
        <v/>
      </c>
      <c r="N1442" s="14">
        <f>IF($A1442="","",$M1442-$L1442)</f>
        <v/>
      </c>
      <c r="O1442" s="4" t="n"/>
      <c r="P1442" s="15">
        <f>IF($A1442="","",DATE(YEAR($A1442),MONTH($A1442),1))</f>
        <v/>
      </c>
      <c r="Q1442" s="16">
        <f>IF($H1442="","",$J1442*IFERROR(INDEX('Settings'!$L$10:$L$39,MATCH($H1442,'Settings'!$I$10:$I$39,0)),0))</f>
        <v/>
      </c>
      <c r="R1442" s="17">
        <f>IF($A1442="","",$A1442-WEEKDAY($A1442,2)+1)</f>
        <v/>
      </c>
    </row>
    <row r="1443">
      <c r="A1443" s="5" t="n"/>
      <c r="B1443" s="4" t="n"/>
      <c r="C1443" s="4" t="n"/>
      <c r="D1443" s="4" t="n"/>
      <c r="E1443" s="4" t="n"/>
      <c r="F1443" s="4" t="n"/>
      <c r="G1443" s="4" t="n"/>
      <c r="H1443" s="4" t="n"/>
      <c r="I1443" s="9">
        <f>IF($H1443="","",IFERROR(INDEX('Settings'!$J$10:$J$39,MATCH($H1443,'Settings'!$I$10:$I$39,0)),""))</f>
        <v/>
      </c>
      <c r="J1443" s="6" t="n"/>
      <c r="K1443" s="8" t="n"/>
      <c r="L1443" s="8" t="n"/>
      <c r="M1443" s="14">
        <f>IF($A1443="","",$J1443*$K1443)</f>
        <v/>
      </c>
      <c r="N1443" s="14">
        <f>IF($A1443="","",$M1443-$L1443)</f>
        <v/>
      </c>
      <c r="O1443" s="4" t="n"/>
      <c r="P1443" s="15">
        <f>IF($A1443="","",DATE(YEAR($A1443),MONTH($A1443),1))</f>
        <v/>
      </c>
      <c r="Q1443" s="16">
        <f>IF($H1443="","",$J1443*IFERROR(INDEX('Settings'!$L$10:$L$39,MATCH($H1443,'Settings'!$I$10:$I$39,0)),0))</f>
        <v/>
      </c>
      <c r="R1443" s="17">
        <f>IF($A1443="","",$A1443-WEEKDAY($A1443,2)+1)</f>
        <v/>
      </c>
    </row>
    <row r="1444">
      <c r="A1444" s="5" t="n"/>
      <c r="B1444" s="4" t="n"/>
      <c r="C1444" s="4" t="n"/>
      <c r="D1444" s="4" t="n"/>
      <c r="E1444" s="4" t="n"/>
      <c r="F1444" s="4" t="n"/>
      <c r="G1444" s="4" t="n"/>
      <c r="H1444" s="4" t="n"/>
      <c r="I1444" s="9">
        <f>IF($H1444="","",IFERROR(INDEX('Settings'!$J$10:$J$39,MATCH($H1444,'Settings'!$I$10:$I$39,0)),""))</f>
        <v/>
      </c>
      <c r="J1444" s="6" t="n"/>
      <c r="K1444" s="8" t="n"/>
      <c r="L1444" s="8" t="n"/>
      <c r="M1444" s="14">
        <f>IF($A1444="","",$J1444*$K1444)</f>
        <v/>
      </c>
      <c r="N1444" s="14">
        <f>IF($A1444="","",$M1444-$L1444)</f>
        <v/>
      </c>
      <c r="O1444" s="4" t="n"/>
      <c r="P1444" s="15">
        <f>IF($A1444="","",DATE(YEAR($A1444),MONTH($A1444),1))</f>
        <v/>
      </c>
      <c r="Q1444" s="16">
        <f>IF($H1444="","",$J1444*IFERROR(INDEX('Settings'!$L$10:$L$39,MATCH($H1444,'Settings'!$I$10:$I$39,0)),0))</f>
        <v/>
      </c>
      <c r="R1444" s="17">
        <f>IF($A1444="","",$A1444-WEEKDAY($A1444,2)+1)</f>
        <v/>
      </c>
    </row>
    <row r="1445">
      <c r="A1445" s="5" t="n"/>
      <c r="B1445" s="4" t="n"/>
      <c r="C1445" s="4" t="n"/>
      <c r="D1445" s="4" t="n"/>
      <c r="E1445" s="4" t="n"/>
      <c r="F1445" s="4" t="n"/>
      <c r="G1445" s="4" t="n"/>
      <c r="H1445" s="4" t="n"/>
      <c r="I1445" s="9">
        <f>IF($H1445="","",IFERROR(INDEX('Settings'!$J$10:$J$39,MATCH($H1445,'Settings'!$I$10:$I$39,0)),""))</f>
        <v/>
      </c>
      <c r="J1445" s="6" t="n"/>
      <c r="K1445" s="8" t="n"/>
      <c r="L1445" s="8" t="n"/>
      <c r="M1445" s="14">
        <f>IF($A1445="","",$J1445*$K1445)</f>
        <v/>
      </c>
      <c r="N1445" s="14">
        <f>IF($A1445="","",$M1445-$L1445)</f>
        <v/>
      </c>
      <c r="O1445" s="4" t="n"/>
      <c r="P1445" s="15">
        <f>IF($A1445="","",DATE(YEAR($A1445),MONTH($A1445),1))</f>
        <v/>
      </c>
      <c r="Q1445" s="16">
        <f>IF($H1445="","",$J1445*IFERROR(INDEX('Settings'!$L$10:$L$39,MATCH($H1445,'Settings'!$I$10:$I$39,0)),0))</f>
        <v/>
      </c>
      <c r="R1445" s="17">
        <f>IF($A1445="","",$A1445-WEEKDAY($A1445,2)+1)</f>
        <v/>
      </c>
    </row>
    <row r="1446">
      <c r="A1446" s="5" t="n"/>
      <c r="B1446" s="4" t="n"/>
      <c r="C1446" s="4" t="n"/>
      <c r="D1446" s="4" t="n"/>
      <c r="E1446" s="4" t="n"/>
      <c r="F1446" s="4" t="n"/>
      <c r="G1446" s="4" t="n"/>
      <c r="H1446" s="4" t="n"/>
      <c r="I1446" s="9">
        <f>IF($H1446="","",IFERROR(INDEX('Settings'!$J$10:$J$39,MATCH($H1446,'Settings'!$I$10:$I$39,0)),""))</f>
        <v/>
      </c>
      <c r="J1446" s="6" t="n"/>
      <c r="K1446" s="8" t="n"/>
      <c r="L1446" s="8" t="n"/>
      <c r="M1446" s="14">
        <f>IF($A1446="","",$J1446*$K1446)</f>
        <v/>
      </c>
      <c r="N1446" s="14">
        <f>IF($A1446="","",$M1446-$L1446)</f>
        <v/>
      </c>
      <c r="O1446" s="4" t="n"/>
      <c r="P1446" s="15">
        <f>IF($A1446="","",DATE(YEAR($A1446),MONTH($A1446),1))</f>
        <v/>
      </c>
      <c r="Q1446" s="16">
        <f>IF($H1446="","",$J1446*IFERROR(INDEX('Settings'!$L$10:$L$39,MATCH($H1446,'Settings'!$I$10:$I$39,0)),0))</f>
        <v/>
      </c>
      <c r="R1446" s="17">
        <f>IF($A1446="","",$A1446-WEEKDAY($A1446,2)+1)</f>
        <v/>
      </c>
    </row>
    <row r="1447">
      <c r="A1447" s="5" t="n"/>
      <c r="B1447" s="4" t="n"/>
      <c r="C1447" s="4" t="n"/>
      <c r="D1447" s="4" t="n"/>
      <c r="E1447" s="4" t="n"/>
      <c r="F1447" s="4" t="n"/>
      <c r="G1447" s="4" t="n"/>
      <c r="H1447" s="4" t="n"/>
      <c r="I1447" s="9">
        <f>IF($H1447="","",IFERROR(INDEX('Settings'!$J$10:$J$39,MATCH($H1447,'Settings'!$I$10:$I$39,0)),""))</f>
        <v/>
      </c>
      <c r="J1447" s="6" t="n"/>
      <c r="K1447" s="8" t="n"/>
      <c r="L1447" s="8" t="n"/>
      <c r="M1447" s="14">
        <f>IF($A1447="","",$J1447*$K1447)</f>
        <v/>
      </c>
      <c r="N1447" s="14">
        <f>IF($A1447="","",$M1447-$L1447)</f>
        <v/>
      </c>
      <c r="O1447" s="4" t="n"/>
      <c r="P1447" s="15">
        <f>IF($A1447="","",DATE(YEAR($A1447),MONTH($A1447),1))</f>
        <v/>
      </c>
      <c r="Q1447" s="16">
        <f>IF($H1447="","",$J1447*IFERROR(INDEX('Settings'!$L$10:$L$39,MATCH($H1447,'Settings'!$I$10:$I$39,0)),0))</f>
        <v/>
      </c>
      <c r="R1447" s="17">
        <f>IF($A1447="","",$A1447-WEEKDAY($A1447,2)+1)</f>
        <v/>
      </c>
    </row>
    <row r="1448">
      <c r="A1448" s="5" t="n"/>
      <c r="B1448" s="4" t="n"/>
      <c r="C1448" s="4" t="n"/>
      <c r="D1448" s="4" t="n"/>
      <c r="E1448" s="4" t="n"/>
      <c r="F1448" s="4" t="n"/>
      <c r="G1448" s="4" t="n"/>
      <c r="H1448" s="4" t="n"/>
      <c r="I1448" s="9">
        <f>IF($H1448="","",IFERROR(INDEX('Settings'!$J$10:$J$39,MATCH($H1448,'Settings'!$I$10:$I$39,0)),""))</f>
        <v/>
      </c>
      <c r="J1448" s="6" t="n"/>
      <c r="K1448" s="8" t="n"/>
      <c r="L1448" s="8" t="n"/>
      <c r="M1448" s="14">
        <f>IF($A1448="","",$J1448*$K1448)</f>
        <v/>
      </c>
      <c r="N1448" s="14">
        <f>IF($A1448="","",$M1448-$L1448)</f>
        <v/>
      </c>
      <c r="O1448" s="4" t="n"/>
      <c r="P1448" s="15">
        <f>IF($A1448="","",DATE(YEAR($A1448),MONTH($A1448),1))</f>
        <v/>
      </c>
      <c r="Q1448" s="16">
        <f>IF($H1448="","",$J1448*IFERROR(INDEX('Settings'!$L$10:$L$39,MATCH($H1448,'Settings'!$I$10:$I$39,0)),0))</f>
        <v/>
      </c>
      <c r="R1448" s="17">
        <f>IF($A1448="","",$A1448-WEEKDAY($A1448,2)+1)</f>
        <v/>
      </c>
    </row>
    <row r="1449">
      <c r="A1449" s="5" t="n"/>
      <c r="B1449" s="4" t="n"/>
      <c r="C1449" s="4" t="n"/>
      <c r="D1449" s="4" t="n"/>
      <c r="E1449" s="4" t="n"/>
      <c r="F1449" s="4" t="n"/>
      <c r="G1449" s="4" t="n"/>
      <c r="H1449" s="4" t="n"/>
      <c r="I1449" s="9">
        <f>IF($H1449="","",IFERROR(INDEX('Settings'!$J$10:$J$39,MATCH($H1449,'Settings'!$I$10:$I$39,0)),""))</f>
        <v/>
      </c>
      <c r="J1449" s="6" t="n"/>
      <c r="K1449" s="8" t="n"/>
      <c r="L1449" s="8" t="n"/>
      <c r="M1449" s="14">
        <f>IF($A1449="","",$J1449*$K1449)</f>
        <v/>
      </c>
      <c r="N1449" s="14">
        <f>IF($A1449="","",$M1449-$L1449)</f>
        <v/>
      </c>
      <c r="O1449" s="4" t="n"/>
      <c r="P1449" s="15">
        <f>IF($A1449="","",DATE(YEAR($A1449),MONTH($A1449),1))</f>
        <v/>
      </c>
      <c r="Q1449" s="16">
        <f>IF($H1449="","",$J1449*IFERROR(INDEX('Settings'!$L$10:$L$39,MATCH($H1449,'Settings'!$I$10:$I$39,0)),0))</f>
        <v/>
      </c>
      <c r="R1449" s="17">
        <f>IF($A1449="","",$A1449-WEEKDAY($A1449,2)+1)</f>
        <v/>
      </c>
    </row>
    <row r="1450">
      <c r="A1450" s="5" t="n"/>
      <c r="B1450" s="4" t="n"/>
      <c r="C1450" s="4" t="n"/>
      <c r="D1450" s="4" t="n"/>
      <c r="E1450" s="4" t="n"/>
      <c r="F1450" s="4" t="n"/>
      <c r="G1450" s="4" t="n"/>
      <c r="H1450" s="4" t="n"/>
      <c r="I1450" s="9">
        <f>IF($H1450="","",IFERROR(INDEX('Settings'!$J$10:$J$39,MATCH($H1450,'Settings'!$I$10:$I$39,0)),""))</f>
        <v/>
      </c>
      <c r="J1450" s="6" t="n"/>
      <c r="K1450" s="8" t="n"/>
      <c r="L1450" s="8" t="n"/>
      <c r="M1450" s="14">
        <f>IF($A1450="","",$J1450*$K1450)</f>
        <v/>
      </c>
      <c r="N1450" s="14">
        <f>IF($A1450="","",$M1450-$L1450)</f>
        <v/>
      </c>
      <c r="O1450" s="4" t="n"/>
      <c r="P1450" s="15">
        <f>IF($A1450="","",DATE(YEAR($A1450),MONTH($A1450),1))</f>
        <v/>
      </c>
      <c r="Q1450" s="16">
        <f>IF($H1450="","",$J1450*IFERROR(INDEX('Settings'!$L$10:$L$39,MATCH($H1450,'Settings'!$I$10:$I$39,0)),0))</f>
        <v/>
      </c>
      <c r="R1450" s="17">
        <f>IF($A1450="","",$A1450-WEEKDAY($A1450,2)+1)</f>
        <v/>
      </c>
    </row>
    <row r="1451">
      <c r="A1451" s="5" t="n"/>
      <c r="B1451" s="4" t="n"/>
      <c r="C1451" s="4" t="n"/>
      <c r="D1451" s="4" t="n"/>
      <c r="E1451" s="4" t="n"/>
      <c r="F1451" s="4" t="n"/>
      <c r="G1451" s="4" t="n"/>
      <c r="H1451" s="4" t="n"/>
      <c r="I1451" s="9">
        <f>IF($H1451="","",IFERROR(INDEX('Settings'!$J$10:$J$39,MATCH($H1451,'Settings'!$I$10:$I$39,0)),""))</f>
        <v/>
      </c>
      <c r="J1451" s="6" t="n"/>
      <c r="K1451" s="8" t="n"/>
      <c r="L1451" s="8" t="n"/>
      <c r="M1451" s="14">
        <f>IF($A1451="","",$J1451*$K1451)</f>
        <v/>
      </c>
      <c r="N1451" s="14">
        <f>IF($A1451="","",$M1451-$L1451)</f>
        <v/>
      </c>
      <c r="O1451" s="4" t="n"/>
      <c r="P1451" s="15">
        <f>IF($A1451="","",DATE(YEAR($A1451),MONTH($A1451),1))</f>
        <v/>
      </c>
      <c r="Q1451" s="16">
        <f>IF($H1451="","",$J1451*IFERROR(INDEX('Settings'!$L$10:$L$39,MATCH($H1451,'Settings'!$I$10:$I$39,0)),0))</f>
        <v/>
      </c>
      <c r="R1451" s="17">
        <f>IF($A1451="","",$A1451-WEEKDAY($A1451,2)+1)</f>
        <v/>
      </c>
    </row>
    <row r="1452">
      <c r="A1452" s="5" t="n"/>
      <c r="B1452" s="4" t="n"/>
      <c r="C1452" s="4" t="n"/>
      <c r="D1452" s="4" t="n"/>
      <c r="E1452" s="4" t="n"/>
      <c r="F1452" s="4" t="n"/>
      <c r="G1452" s="4" t="n"/>
      <c r="H1452" s="4" t="n"/>
      <c r="I1452" s="9">
        <f>IF($H1452="","",IFERROR(INDEX('Settings'!$J$10:$J$39,MATCH($H1452,'Settings'!$I$10:$I$39,0)),""))</f>
        <v/>
      </c>
      <c r="J1452" s="6" t="n"/>
      <c r="K1452" s="8" t="n"/>
      <c r="L1452" s="8" t="n"/>
      <c r="M1452" s="14">
        <f>IF($A1452="","",$J1452*$K1452)</f>
        <v/>
      </c>
      <c r="N1452" s="14">
        <f>IF($A1452="","",$M1452-$L1452)</f>
        <v/>
      </c>
      <c r="O1452" s="4" t="n"/>
      <c r="P1452" s="15">
        <f>IF($A1452="","",DATE(YEAR($A1452),MONTH($A1452),1))</f>
        <v/>
      </c>
      <c r="Q1452" s="16">
        <f>IF($H1452="","",$J1452*IFERROR(INDEX('Settings'!$L$10:$L$39,MATCH($H1452,'Settings'!$I$10:$I$39,0)),0))</f>
        <v/>
      </c>
      <c r="R1452" s="17">
        <f>IF($A1452="","",$A1452-WEEKDAY($A1452,2)+1)</f>
        <v/>
      </c>
    </row>
    <row r="1453">
      <c r="A1453" s="5" t="n"/>
      <c r="B1453" s="4" t="n"/>
      <c r="C1453" s="4" t="n"/>
      <c r="D1453" s="4" t="n"/>
      <c r="E1453" s="4" t="n"/>
      <c r="F1453" s="4" t="n"/>
      <c r="G1453" s="4" t="n"/>
      <c r="H1453" s="4" t="n"/>
      <c r="I1453" s="9">
        <f>IF($H1453="","",IFERROR(INDEX('Settings'!$J$10:$J$39,MATCH($H1453,'Settings'!$I$10:$I$39,0)),""))</f>
        <v/>
      </c>
      <c r="J1453" s="6" t="n"/>
      <c r="K1453" s="8" t="n"/>
      <c r="L1453" s="8" t="n"/>
      <c r="M1453" s="14">
        <f>IF($A1453="","",$J1453*$K1453)</f>
        <v/>
      </c>
      <c r="N1453" s="14">
        <f>IF($A1453="","",$M1453-$L1453)</f>
        <v/>
      </c>
      <c r="O1453" s="4" t="n"/>
      <c r="P1453" s="15">
        <f>IF($A1453="","",DATE(YEAR($A1453),MONTH($A1453),1))</f>
        <v/>
      </c>
      <c r="Q1453" s="16">
        <f>IF($H1453="","",$J1453*IFERROR(INDEX('Settings'!$L$10:$L$39,MATCH($H1453,'Settings'!$I$10:$I$39,0)),0))</f>
        <v/>
      </c>
      <c r="R1453" s="17">
        <f>IF($A1453="","",$A1453-WEEKDAY($A1453,2)+1)</f>
        <v/>
      </c>
    </row>
    <row r="1454">
      <c r="A1454" s="5" t="n"/>
      <c r="B1454" s="4" t="n"/>
      <c r="C1454" s="4" t="n"/>
      <c r="D1454" s="4" t="n"/>
      <c r="E1454" s="4" t="n"/>
      <c r="F1454" s="4" t="n"/>
      <c r="G1454" s="4" t="n"/>
      <c r="H1454" s="4" t="n"/>
      <c r="I1454" s="9">
        <f>IF($H1454="","",IFERROR(INDEX('Settings'!$J$10:$J$39,MATCH($H1454,'Settings'!$I$10:$I$39,0)),""))</f>
        <v/>
      </c>
      <c r="J1454" s="6" t="n"/>
      <c r="K1454" s="8" t="n"/>
      <c r="L1454" s="8" t="n"/>
      <c r="M1454" s="14">
        <f>IF($A1454="","",$J1454*$K1454)</f>
        <v/>
      </c>
      <c r="N1454" s="14">
        <f>IF($A1454="","",$M1454-$L1454)</f>
        <v/>
      </c>
      <c r="O1454" s="4" t="n"/>
      <c r="P1454" s="15">
        <f>IF($A1454="","",DATE(YEAR($A1454),MONTH($A1454),1))</f>
        <v/>
      </c>
      <c r="Q1454" s="16">
        <f>IF($H1454="","",$J1454*IFERROR(INDEX('Settings'!$L$10:$L$39,MATCH($H1454,'Settings'!$I$10:$I$39,0)),0))</f>
        <v/>
      </c>
      <c r="R1454" s="17">
        <f>IF($A1454="","",$A1454-WEEKDAY($A1454,2)+1)</f>
        <v/>
      </c>
    </row>
    <row r="1455">
      <c r="A1455" s="5" t="n"/>
      <c r="B1455" s="4" t="n"/>
      <c r="C1455" s="4" t="n"/>
      <c r="D1455" s="4" t="n"/>
      <c r="E1455" s="4" t="n"/>
      <c r="F1455" s="4" t="n"/>
      <c r="G1455" s="4" t="n"/>
      <c r="H1455" s="4" t="n"/>
      <c r="I1455" s="9">
        <f>IF($H1455="","",IFERROR(INDEX('Settings'!$J$10:$J$39,MATCH($H1455,'Settings'!$I$10:$I$39,0)),""))</f>
        <v/>
      </c>
      <c r="J1455" s="6" t="n"/>
      <c r="K1455" s="8" t="n"/>
      <c r="L1455" s="8" t="n"/>
      <c r="M1455" s="14">
        <f>IF($A1455="","",$J1455*$K1455)</f>
        <v/>
      </c>
      <c r="N1455" s="14">
        <f>IF($A1455="","",$M1455-$L1455)</f>
        <v/>
      </c>
      <c r="O1455" s="4" t="n"/>
      <c r="P1455" s="15">
        <f>IF($A1455="","",DATE(YEAR($A1455),MONTH($A1455),1))</f>
        <v/>
      </c>
      <c r="Q1455" s="16">
        <f>IF($H1455="","",$J1455*IFERROR(INDEX('Settings'!$L$10:$L$39,MATCH($H1455,'Settings'!$I$10:$I$39,0)),0))</f>
        <v/>
      </c>
      <c r="R1455" s="17">
        <f>IF($A1455="","",$A1455-WEEKDAY($A1455,2)+1)</f>
        <v/>
      </c>
    </row>
    <row r="1456">
      <c r="A1456" s="5" t="n"/>
      <c r="B1456" s="4" t="n"/>
      <c r="C1456" s="4" t="n"/>
      <c r="D1456" s="4" t="n"/>
      <c r="E1456" s="4" t="n"/>
      <c r="F1456" s="4" t="n"/>
      <c r="G1456" s="4" t="n"/>
      <c r="H1456" s="4" t="n"/>
      <c r="I1456" s="9">
        <f>IF($H1456="","",IFERROR(INDEX('Settings'!$J$10:$J$39,MATCH($H1456,'Settings'!$I$10:$I$39,0)),""))</f>
        <v/>
      </c>
      <c r="J1456" s="6" t="n"/>
      <c r="K1456" s="8" t="n"/>
      <c r="L1456" s="8" t="n"/>
      <c r="M1456" s="14">
        <f>IF($A1456="","",$J1456*$K1456)</f>
        <v/>
      </c>
      <c r="N1456" s="14">
        <f>IF($A1456="","",$M1456-$L1456)</f>
        <v/>
      </c>
      <c r="O1456" s="4" t="n"/>
      <c r="P1456" s="15">
        <f>IF($A1456="","",DATE(YEAR($A1456),MONTH($A1456),1))</f>
        <v/>
      </c>
      <c r="Q1456" s="16">
        <f>IF($H1456="","",$J1456*IFERROR(INDEX('Settings'!$L$10:$L$39,MATCH($H1456,'Settings'!$I$10:$I$39,0)),0))</f>
        <v/>
      </c>
      <c r="R1456" s="17">
        <f>IF($A1456="","",$A1456-WEEKDAY($A1456,2)+1)</f>
        <v/>
      </c>
    </row>
    <row r="1457">
      <c r="A1457" s="5" t="n"/>
      <c r="B1457" s="4" t="n"/>
      <c r="C1457" s="4" t="n"/>
      <c r="D1457" s="4" t="n"/>
      <c r="E1457" s="4" t="n"/>
      <c r="F1457" s="4" t="n"/>
      <c r="G1457" s="4" t="n"/>
      <c r="H1457" s="4" t="n"/>
      <c r="I1457" s="9">
        <f>IF($H1457="","",IFERROR(INDEX('Settings'!$J$10:$J$39,MATCH($H1457,'Settings'!$I$10:$I$39,0)),""))</f>
        <v/>
      </c>
      <c r="J1457" s="6" t="n"/>
      <c r="K1457" s="8" t="n"/>
      <c r="L1457" s="8" t="n"/>
      <c r="M1457" s="14">
        <f>IF($A1457="","",$J1457*$K1457)</f>
        <v/>
      </c>
      <c r="N1457" s="14">
        <f>IF($A1457="","",$M1457-$L1457)</f>
        <v/>
      </c>
      <c r="O1457" s="4" t="n"/>
      <c r="P1457" s="15">
        <f>IF($A1457="","",DATE(YEAR($A1457),MONTH($A1457),1))</f>
        <v/>
      </c>
      <c r="Q1457" s="16">
        <f>IF($H1457="","",$J1457*IFERROR(INDEX('Settings'!$L$10:$L$39,MATCH($H1457,'Settings'!$I$10:$I$39,0)),0))</f>
        <v/>
      </c>
      <c r="R1457" s="17">
        <f>IF($A1457="","",$A1457-WEEKDAY($A1457,2)+1)</f>
        <v/>
      </c>
    </row>
    <row r="1458">
      <c r="A1458" s="5" t="n"/>
      <c r="B1458" s="4" t="n"/>
      <c r="C1458" s="4" t="n"/>
      <c r="D1458" s="4" t="n"/>
      <c r="E1458" s="4" t="n"/>
      <c r="F1458" s="4" t="n"/>
      <c r="G1458" s="4" t="n"/>
      <c r="H1458" s="4" t="n"/>
      <c r="I1458" s="9">
        <f>IF($H1458="","",IFERROR(INDEX('Settings'!$J$10:$J$39,MATCH($H1458,'Settings'!$I$10:$I$39,0)),""))</f>
        <v/>
      </c>
      <c r="J1458" s="6" t="n"/>
      <c r="K1458" s="8" t="n"/>
      <c r="L1458" s="8" t="n"/>
      <c r="M1458" s="14">
        <f>IF($A1458="","",$J1458*$K1458)</f>
        <v/>
      </c>
      <c r="N1458" s="14">
        <f>IF($A1458="","",$M1458-$L1458)</f>
        <v/>
      </c>
      <c r="O1458" s="4" t="n"/>
      <c r="P1458" s="15">
        <f>IF($A1458="","",DATE(YEAR($A1458),MONTH($A1458),1))</f>
        <v/>
      </c>
      <c r="Q1458" s="16">
        <f>IF($H1458="","",$J1458*IFERROR(INDEX('Settings'!$L$10:$L$39,MATCH($H1458,'Settings'!$I$10:$I$39,0)),0))</f>
        <v/>
      </c>
      <c r="R1458" s="17">
        <f>IF($A1458="","",$A1458-WEEKDAY($A1458,2)+1)</f>
        <v/>
      </c>
    </row>
    <row r="1459">
      <c r="A1459" s="5" t="n"/>
      <c r="B1459" s="4" t="n"/>
      <c r="C1459" s="4" t="n"/>
      <c r="D1459" s="4" t="n"/>
      <c r="E1459" s="4" t="n"/>
      <c r="F1459" s="4" t="n"/>
      <c r="G1459" s="4" t="n"/>
      <c r="H1459" s="4" t="n"/>
      <c r="I1459" s="9">
        <f>IF($H1459="","",IFERROR(INDEX('Settings'!$J$10:$J$39,MATCH($H1459,'Settings'!$I$10:$I$39,0)),""))</f>
        <v/>
      </c>
      <c r="J1459" s="6" t="n"/>
      <c r="K1459" s="8" t="n"/>
      <c r="L1459" s="8" t="n"/>
      <c r="M1459" s="14">
        <f>IF($A1459="","",$J1459*$K1459)</f>
        <v/>
      </c>
      <c r="N1459" s="14">
        <f>IF($A1459="","",$M1459-$L1459)</f>
        <v/>
      </c>
      <c r="O1459" s="4" t="n"/>
      <c r="P1459" s="15">
        <f>IF($A1459="","",DATE(YEAR($A1459),MONTH($A1459),1))</f>
        <v/>
      </c>
      <c r="Q1459" s="16">
        <f>IF($H1459="","",$J1459*IFERROR(INDEX('Settings'!$L$10:$L$39,MATCH($H1459,'Settings'!$I$10:$I$39,0)),0))</f>
        <v/>
      </c>
      <c r="R1459" s="17">
        <f>IF($A1459="","",$A1459-WEEKDAY($A1459,2)+1)</f>
        <v/>
      </c>
    </row>
    <row r="1460">
      <c r="A1460" s="5" t="n"/>
      <c r="B1460" s="4" t="n"/>
      <c r="C1460" s="4" t="n"/>
      <c r="D1460" s="4" t="n"/>
      <c r="E1460" s="4" t="n"/>
      <c r="F1460" s="4" t="n"/>
      <c r="G1460" s="4" t="n"/>
      <c r="H1460" s="4" t="n"/>
      <c r="I1460" s="9">
        <f>IF($H1460="","",IFERROR(INDEX('Settings'!$J$10:$J$39,MATCH($H1460,'Settings'!$I$10:$I$39,0)),""))</f>
        <v/>
      </c>
      <c r="J1460" s="6" t="n"/>
      <c r="K1460" s="8" t="n"/>
      <c r="L1460" s="8" t="n"/>
      <c r="M1460" s="14">
        <f>IF($A1460="","",$J1460*$K1460)</f>
        <v/>
      </c>
      <c r="N1460" s="14">
        <f>IF($A1460="","",$M1460-$L1460)</f>
        <v/>
      </c>
      <c r="O1460" s="4" t="n"/>
      <c r="P1460" s="15">
        <f>IF($A1460="","",DATE(YEAR($A1460),MONTH($A1460),1))</f>
        <v/>
      </c>
      <c r="Q1460" s="16">
        <f>IF($H1460="","",$J1460*IFERROR(INDEX('Settings'!$L$10:$L$39,MATCH($H1460,'Settings'!$I$10:$I$39,0)),0))</f>
        <v/>
      </c>
      <c r="R1460" s="17">
        <f>IF($A1460="","",$A1460-WEEKDAY($A1460,2)+1)</f>
        <v/>
      </c>
    </row>
    <row r="1461">
      <c r="A1461" s="5" t="n"/>
      <c r="B1461" s="4" t="n"/>
      <c r="C1461" s="4" t="n"/>
      <c r="D1461" s="4" t="n"/>
      <c r="E1461" s="4" t="n"/>
      <c r="F1461" s="4" t="n"/>
      <c r="G1461" s="4" t="n"/>
      <c r="H1461" s="4" t="n"/>
      <c r="I1461" s="9">
        <f>IF($H1461="","",IFERROR(INDEX('Settings'!$J$10:$J$39,MATCH($H1461,'Settings'!$I$10:$I$39,0)),""))</f>
        <v/>
      </c>
      <c r="J1461" s="6" t="n"/>
      <c r="K1461" s="8" t="n"/>
      <c r="L1461" s="8" t="n"/>
      <c r="M1461" s="14">
        <f>IF($A1461="","",$J1461*$K1461)</f>
        <v/>
      </c>
      <c r="N1461" s="14">
        <f>IF($A1461="","",$M1461-$L1461)</f>
        <v/>
      </c>
      <c r="O1461" s="4" t="n"/>
      <c r="P1461" s="15">
        <f>IF($A1461="","",DATE(YEAR($A1461),MONTH($A1461),1))</f>
        <v/>
      </c>
      <c r="Q1461" s="16">
        <f>IF($H1461="","",$J1461*IFERROR(INDEX('Settings'!$L$10:$L$39,MATCH($H1461,'Settings'!$I$10:$I$39,0)),0))</f>
        <v/>
      </c>
      <c r="R1461" s="17">
        <f>IF($A1461="","",$A1461-WEEKDAY($A1461,2)+1)</f>
        <v/>
      </c>
    </row>
    <row r="1462">
      <c r="A1462" s="5" t="n"/>
      <c r="B1462" s="4" t="n"/>
      <c r="C1462" s="4" t="n"/>
      <c r="D1462" s="4" t="n"/>
      <c r="E1462" s="4" t="n"/>
      <c r="F1462" s="4" t="n"/>
      <c r="G1462" s="4" t="n"/>
      <c r="H1462" s="4" t="n"/>
      <c r="I1462" s="9">
        <f>IF($H1462="","",IFERROR(INDEX('Settings'!$J$10:$J$39,MATCH($H1462,'Settings'!$I$10:$I$39,0)),""))</f>
        <v/>
      </c>
      <c r="J1462" s="6" t="n"/>
      <c r="K1462" s="8" t="n"/>
      <c r="L1462" s="8" t="n"/>
      <c r="M1462" s="14">
        <f>IF($A1462="","",$J1462*$K1462)</f>
        <v/>
      </c>
      <c r="N1462" s="14">
        <f>IF($A1462="","",$M1462-$L1462)</f>
        <v/>
      </c>
      <c r="O1462" s="4" t="n"/>
      <c r="P1462" s="15">
        <f>IF($A1462="","",DATE(YEAR($A1462),MONTH($A1462),1))</f>
        <v/>
      </c>
      <c r="Q1462" s="16">
        <f>IF($H1462="","",$J1462*IFERROR(INDEX('Settings'!$L$10:$L$39,MATCH($H1462,'Settings'!$I$10:$I$39,0)),0))</f>
        <v/>
      </c>
      <c r="R1462" s="17">
        <f>IF($A1462="","",$A1462-WEEKDAY($A1462,2)+1)</f>
        <v/>
      </c>
    </row>
    <row r="1463">
      <c r="A1463" s="5" t="n"/>
      <c r="B1463" s="4" t="n"/>
      <c r="C1463" s="4" t="n"/>
      <c r="D1463" s="4" t="n"/>
      <c r="E1463" s="4" t="n"/>
      <c r="F1463" s="4" t="n"/>
      <c r="G1463" s="4" t="n"/>
      <c r="H1463" s="4" t="n"/>
      <c r="I1463" s="9">
        <f>IF($H1463="","",IFERROR(INDEX('Settings'!$J$10:$J$39,MATCH($H1463,'Settings'!$I$10:$I$39,0)),""))</f>
        <v/>
      </c>
      <c r="J1463" s="6" t="n"/>
      <c r="K1463" s="8" t="n"/>
      <c r="L1463" s="8" t="n"/>
      <c r="M1463" s="14">
        <f>IF($A1463="","",$J1463*$K1463)</f>
        <v/>
      </c>
      <c r="N1463" s="14">
        <f>IF($A1463="","",$M1463-$L1463)</f>
        <v/>
      </c>
      <c r="O1463" s="4" t="n"/>
      <c r="P1463" s="15">
        <f>IF($A1463="","",DATE(YEAR($A1463),MONTH($A1463),1))</f>
        <v/>
      </c>
      <c r="Q1463" s="16">
        <f>IF($H1463="","",$J1463*IFERROR(INDEX('Settings'!$L$10:$L$39,MATCH($H1463,'Settings'!$I$10:$I$39,0)),0))</f>
        <v/>
      </c>
      <c r="R1463" s="17">
        <f>IF($A1463="","",$A1463-WEEKDAY($A1463,2)+1)</f>
        <v/>
      </c>
    </row>
    <row r="1464">
      <c r="A1464" s="5" t="n"/>
      <c r="B1464" s="4" t="n"/>
      <c r="C1464" s="4" t="n"/>
      <c r="D1464" s="4" t="n"/>
      <c r="E1464" s="4" t="n"/>
      <c r="F1464" s="4" t="n"/>
      <c r="G1464" s="4" t="n"/>
      <c r="H1464" s="4" t="n"/>
      <c r="I1464" s="9">
        <f>IF($H1464="","",IFERROR(INDEX('Settings'!$J$10:$J$39,MATCH($H1464,'Settings'!$I$10:$I$39,0)),""))</f>
        <v/>
      </c>
      <c r="J1464" s="6" t="n"/>
      <c r="K1464" s="8" t="n"/>
      <c r="L1464" s="8" t="n"/>
      <c r="M1464" s="14">
        <f>IF($A1464="","",$J1464*$K1464)</f>
        <v/>
      </c>
      <c r="N1464" s="14">
        <f>IF($A1464="","",$M1464-$L1464)</f>
        <v/>
      </c>
      <c r="O1464" s="4" t="n"/>
      <c r="P1464" s="15">
        <f>IF($A1464="","",DATE(YEAR($A1464),MONTH($A1464),1))</f>
        <v/>
      </c>
      <c r="Q1464" s="16">
        <f>IF($H1464="","",$J1464*IFERROR(INDEX('Settings'!$L$10:$L$39,MATCH($H1464,'Settings'!$I$10:$I$39,0)),0))</f>
        <v/>
      </c>
      <c r="R1464" s="17">
        <f>IF($A1464="","",$A1464-WEEKDAY($A1464,2)+1)</f>
        <v/>
      </c>
    </row>
    <row r="1465">
      <c r="A1465" s="5" t="n"/>
      <c r="B1465" s="4" t="n"/>
      <c r="C1465" s="4" t="n"/>
      <c r="D1465" s="4" t="n"/>
      <c r="E1465" s="4" t="n"/>
      <c r="F1465" s="4" t="n"/>
      <c r="G1465" s="4" t="n"/>
      <c r="H1465" s="4" t="n"/>
      <c r="I1465" s="9">
        <f>IF($H1465="","",IFERROR(INDEX('Settings'!$J$10:$J$39,MATCH($H1465,'Settings'!$I$10:$I$39,0)),""))</f>
        <v/>
      </c>
      <c r="J1465" s="6" t="n"/>
      <c r="K1465" s="8" t="n"/>
      <c r="L1465" s="8" t="n"/>
      <c r="M1465" s="14">
        <f>IF($A1465="","",$J1465*$K1465)</f>
        <v/>
      </c>
      <c r="N1465" s="14">
        <f>IF($A1465="","",$M1465-$L1465)</f>
        <v/>
      </c>
      <c r="O1465" s="4" t="n"/>
      <c r="P1465" s="15">
        <f>IF($A1465="","",DATE(YEAR($A1465),MONTH($A1465),1))</f>
        <v/>
      </c>
      <c r="Q1465" s="16">
        <f>IF($H1465="","",$J1465*IFERROR(INDEX('Settings'!$L$10:$L$39,MATCH($H1465,'Settings'!$I$10:$I$39,0)),0))</f>
        <v/>
      </c>
      <c r="R1465" s="17">
        <f>IF($A1465="","",$A1465-WEEKDAY($A1465,2)+1)</f>
        <v/>
      </c>
    </row>
    <row r="1466">
      <c r="A1466" s="5" t="n"/>
      <c r="B1466" s="4" t="n"/>
      <c r="C1466" s="4" t="n"/>
      <c r="D1466" s="4" t="n"/>
      <c r="E1466" s="4" t="n"/>
      <c r="F1466" s="4" t="n"/>
      <c r="G1466" s="4" t="n"/>
      <c r="H1466" s="4" t="n"/>
      <c r="I1466" s="9">
        <f>IF($H1466="","",IFERROR(INDEX('Settings'!$J$10:$J$39,MATCH($H1466,'Settings'!$I$10:$I$39,0)),""))</f>
        <v/>
      </c>
      <c r="J1466" s="6" t="n"/>
      <c r="K1466" s="8" t="n"/>
      <c r="L1466" s="8" t="n"/>
      <c r="M1466" s="14">
        <f>IF($A1466="","",$J1466*$K1466)</f>
        <v/>
      </c>
      <c r="N1466" s="14">
        <f>IF($A1466="","",$M1466-$L1466)</f>
        <v/>
      </c>
      <c r="O1466" s="4" t="n"/>
      <c r="P1466" s="15">
        <f>IF($A1466="","",DATE(YEAR($A1466),MONTH($A1466),1))</f>
        <v/>
      </c>
      <c r="Q1466" s="16">
        <f>IF($H1466="","",$J1466*IFERROR(INDEX('Settings'!$L$10:$L$39,MATCH($H1466,'Settings'!$I$10:$I$39,0)),0))</f>
        <v/>
      </c>
      <c r="R1466" s="17">
        <f>IF($A1466="","",$A1466-WEEKDAY($A1466,2)+1)</f>
        <v/>
      </c>
    </row>
    <row r="1467">
      <c r="A1467" s="5" t="n"/>
      <c r="B1467" s="4" t="n"/>
      <c r="C1467" s="4" t="n"/>
      <c r="D1467" s="4" t="n"/>
      <c r="E1467" s="4" t="n"/>
      <c r="F1467" s="4" t="n"/>
      <c r="G1467" s="4" t="n"/>
      <c r="H1467" s="4" t="n"/>
      <c r="I1467" s="9">
        <f>IF($H1467="","",IFERROR(INDEX('Settings'!$J$10:$J$39,MATCH($H1467,'Settings'!$I$10:$I$39,0)),""))</f>
        <v/>
      </c>
      <c r="J1467" s="6" t="n"/>
      <c r="K1467" s="8" t="n"/>
      <c r="L1467" s="8" t="n"/>
      <c r="M1467" s="14">
        <f>IF($A1467="","",$J1467*$K1467)</f>
        <v/>
      </c>
      <c r="N1467" s="14">
        <f>IF($A1467="","",$M1467-$L1467)</f>
        <v/>
      </c>
      <c r="O1467" s="4" t="n"/>
      <c r="P1467" s="15">
        <f>IF($A1467="","",DATE(YEAR($A1467),MONTH($A1467),1))</f>
        <v/>
      </c>
      <c r="Q1467" s="16">
        <f>IF($H1467="","",$J1467*IFERROR(INDEX('Settings'!$L$10:$L$39,MATCH($H1467,'Settings'!$I$10:$I$39,0)),0))</f>
        <v/>
      </c>
      <c r="R1467" s="17">
        <f>IF($A1467="","",$A1467-WEEKDAY($A1467,2)+1)</f>
        <v/>
      </c>
    </row>
    <row r="1468">
      <c r="A1468" s="5" t="n"/>
      <c r="B1468" s="4" t="n"/>
      <c r="C1468" s="4" t="n"/>
      <c r="D1468" s="4" t="n"/>
      <c r="E1468" s="4" t="n"/>
      <c r="F1468" s="4" t="n"/>
      <c r="G1468" s="4" t="n"/>
      <c r="H1468" s="4" t="n"/>
      <c r="I1468" s="9">
        <f>IF($H1468="","",IFERROR(INDEX('Settings'!$J$10:$J$39,MATCH($H1468,'Settings'!$I$10:$I$39,0)),""))</f>
        <v/>
      </c>
      <c r="J1468" s="6" t="n"/>
      <c r="K1468" s="8" t="n"/>
      <c r="L1468" s="8" t="n"/>
      <c r="M1468" s="14">
        <f>IF($A1468="","",$J1468*$K1468)</f>
        <v/>
      </c>
      <c r="N1468" s="14">
        <f>IF($A1468="","",$M1468-$L1468)</f>
        <v/>
      </c>
      <c r="O1468" s="4" t="n"/>
      <c r="P1468" s="15">
        <f>IF($A1468="","",DATE(YEAR($A1468),MONTH($A1468),1))</f>
        <v/>
      </c>
      <c r="Q1468" s="16">
        <f>IF($H1468="","",$J1468*IFERROR(INDEX('Settings'!$L$10:$L$39,MATCH($H1468,'Settings'!$I$10:$I$39,0)),0))</f>
        <v/>
      </c>
      <c r="R1468" s="17">
        <f>IF($A1468="","",$A1468-WEEKDAY($A1468,2)+1)</f>
        <v/>
      </c>
    </row>
    <row r="1469">
      <c r="A1469" s="5" t="n"/>
      <c r="B1469" s="4" t="n"/>
      <c r="C1469" s="4" t="n"/>
      <c r="D1469" s="4" t="n"/>
      <c r="E1469" s="4" t="n"/>
      <c r="F1469" s="4" t="n"/>
      <c r="G1469" s="4" t="n"/>
      <c r="H1469" s="4" t="n"/>
      <c r="I1469" s="9">
        <f>IF($H1469="","",IFERROR(INDEX('Settings'!$J$10:$J$39,MATCH($H1469,'Settings'!$I$10:$I$39,0)),""))</f>
        <v/>
      </c>
      <c r="J1469" s="6" t="n"/>
      <c r="K1469" s="8" t="n"/>
      <c r="L1469" s="8" t="n"/>
      <c r="M1469" s="14">
        <f>IF($A1469="","",$J1469*$K1469)</f>
        <v/>
      </c>
      <c r="N1469" s="14">
        <f>IF($A1469="","",$M1469-$L1469)</f>
        <v/>
      </c>
      <c r="O1469" s="4" t="n"/>
      <c r="P1469" s="15">
        <f>IF($A1469="","",DATE(YEAR($A1469),MONTH($A1469),1))</f>
        <v/>
      </c>
      <c r="Q1469" s="16">
        <f>IF($H1469="","",$J1469*IFERROR(INDEX('Settings'!$L$10:$L$39,MATCH($H1469,'Settings'!$I$10:$I$39,0)),0))</f>
        <v/>
      </c>
      <c r="R1469" s="17">
        <f>IF($A1469="","",$A1469-WEEKDAY($A1469,2)+1)</f>
        <v/>
      </c>
    </row>
    <row r="1470">
      <c r="A1470" s="5" t="n"/>
      <c r="B1470" s="4" t="n"/>
      <c r="C1470" s="4" t="n"/>
      <c r="D1470" s="4" t="n"/>
      <c r="E1470" s="4" t="n"/>
      <c r="F1470" s="4" t="n"/>
      <c r="G1470" s="4" t="n"/>
      <c r="H1470" s="4" t="n"/>
      <c r="I1470" s="9">
        <f>IF($H1470="","",IFERROR(INDEX('Settings'!$J$10:$J$39,MATCH($H1470,'Settings'!$I$10:$I$39,0)),""))</f>
        <v/>
      </c>
      <c r="J1470" s="6" t="n"/>
      <c r="K1470" s="8" t="n"/>
      <c r="L1470" s="8" t="n"/>
      <c r="M1470" s="14">
        <f>IF($A1470="","",$J1470*$K1470)</f>
        <v/>
      </c>
      <c r="N1470" s="14">
        <f>IF($A1470="","",$M1470-$L1470)</f>
        <v/>
      </c>
      <c r="O1470" s="4" t="n"/>
      <c r="P1470" s="15">
        <f>IF($A1470="","",DATE(YEAR($A1470),MONTH($A1470),1))</f>
        <v/>
      </c>
      <c r="Q1470" s="16">
        <f>IF($H1470="","",$J1470*IFERROR(INDEX('Settings'!$L$10:$L$39,MATCH($H1470,'Settings'!$I$10:$I$39,0)),0))</f>
        <v/>
      </c>
      <c r="R1470" s="17">
        <f>IF($A1470="","",$A1470-WEEKDAY($A1470,2)+1)</f>
        <v/>
      </c>
    </row>
    <row r="1471">
      <c r="A1471" s="5" t="n"/>
      <c r="B1471" s="4" t="n"/>
      <c r="C1471" s="4" t="n"/>
      <c r="D1471" s="4" t="n"/>
      <c r="E1471" s="4" t="n"/>
      <c r="F1471" s="4" t="n"/>
      <c r="G1471" s="4" t="n"/>
      <c r="H1471" s="4" t="n"/>
      <c r="I1471" s="9">
        <f>IF($H1471="","",IFERROR(INDEX('Settings'!$J$10:$J$39,MATCH($H1471,'Settings'!$I$10:$I$39,0)),""))</f>
        <v/>
      </c>
      <c r="J1471" s="6" t="n"/>
      <c r="K1471" s="8" t="n"/>
      <c r="L1471" s="8" t="n"/>
      <c r="M1471" s="14">
        <f>IF($A1471="","",$J1471*$K1471)</f>
        <v/>
      </c>
      <c r="N1471" s="14">
        <f>IF($A1471="","",$M1471-$L1471)</f>
        <v/>
      </c>
      <c r="O1471" s="4" t="n"/>
      <c r="P1471" s="15">
        <f>IF($A1471="","",DATE(YEAR($A1471),MONTH($A1471),1))</f>
        <v/>
      </c>
      <c r="Q1471" s="16">
        <f>IF($H1471="","",$J1471*IFERROR(INDEX('Settings'!$L$10:$L$39,MATCH($H1471,'Settings'!$I$10:$I$39,0)),0))</f>
        <v/>
      </c>
      <c r="R1471" s="17">
        <f>IF($A1471="","",$A1471-WEEKDAY($A1471,2)+1)</f>
        <v/>
      </c>
    </row>
    <row r="1472">
      <c r="A1472" s="5" t="n"/>
      <c r="B1472" s="4" t="n"/>
      <c r="C1472" s="4" t="n"/>
      <c r="D1472" s="4" t="n"/>
      <c r="E1472" s="4" t="n"/>
      <c r="F1472" s="4" t="n"/>
      <c r="G1472" s="4" t="n"/>
      <c r="H1472" s="4" t="n"/>
      <c r="I1472" s="9">
        <f>IF($H1472="","",IFERROR(INDEX('Settings'!$J$10:$J$39,MATCH($H1472,'Settings'!$I$10:$I$39,0)),""))</f>
        <v/>
      </c>
      <c r="J1472" s="6" t="n"/>
      <c r="K1472" s="8" t="n"/>
      <c r="L1472" s="8" t="n"/>
      <c r="M1472" s="14">
        <f>IF($A1472="","",$J1472*$K1472)</f>
        <v/>
      </c>
      <c r="N1472" s="14">
        <f>IF($A1472="","",$M1472-$L1472)</f>
        <v/>
      </c>
      <c r="O1472" s="4" t="n"/>
      <c r="P1472" s="15">
        <f>IF($A1472="","",DATE(YEAR($A1472),MONTH($A1472),1))</f>
        <v/>
      </c>
      <c r="Q1472" s="16">
        <f>IF($H1472="","",$J1472*IFERROR(INDEX('Settings'!$L$10:$L$39,MATCH($H1472,'Settings'!$I$10:$I$39,0)),0))</f>
        <v/>
      </c>
      <c r="R1472" s="17">
        <f>IF($A1472="","",$A1472-WEEKDAY($A1472,2)+1)</f>
        <v/>
      </c>
    </row>
    <row r="1473">
      <c r="A1473" s="5" t="n"/>
      <c r="B1473" s="4" t="n"/>
      <c r="C1473" s="4" t="n"/>
      <c r="D1473" s="4" t="n"/>
      <c r="E1473" s="4" t="n"/>
      <c r="F1473" s="4" t="n"/>
      <c r="G1473" s="4" t="n"/>
      <c r="H1473" s="4" t="n"/>
      <c r="I1473" s="9">
        <f>IF($H1473="","",IFERROR(INDEX('Settings'!$J$10:$J$39,MATCH($H1473,'Settings'!$I$10:$I$39,0)),""))</f>
        <v/>
      </c>
      <c r="J1473" s="6" t="n"/>
      <c r="K1473" s="8" t="n"/>
      <c r="L1473" s="8" t="n"/>
      <c r="M1473" s="14">
        <f>IF($A1473="","",$J1473*$K1473)</f>
        <v/>
      </c>
      <c r="N1473" s="14">
        <f>IF($A1473="","",$M1473-$L1473)</f>
        <v/>
      </c>
      <c r="O1473" s="4" t="n"/>
      <c r="P1473" s="15">
        <f>IF($A1473="","",DATE(YEAR($A1473),MONTH($A1473),1))</f>
        <v/>
      </c>
      <c r="Q1473" s="16">
        <f>IF($H1473="","",$J1473*IFERROR(INDEX('Settings'!$L$10:$L$39,MATCH($H1473,'Settings'!$I$10:$I$39,0)),0))</f>
        <v/>
      </c>
      <c r="R1473" s="17">
        <f>IF($A1473="","",$A1473-WEEKDAY($A1473,2)+1)</f>
        <v/>
      </c>
    </row>
    <row r="1474">
      <c r="A1474" s="5" t="n"/>
      <c r="B1474" s="4" t="n"/>
      <c r="C1474" s="4" t="n"/>
      <c r="D1474" s="4" t="n"/>
      <c r="E1474" s="4" t="n"/>
      <c r="F1474" s="4" t="n"/>
      <c r="G1474" s="4" t="n"/>
      <c r="H1474" s="4" t="n"/>
      <c r="I1474" s="9">
        <f>IF($H1474="","",IFERROR(INDEX('Settings'!$J$10:$J$39,MATCH($H1474,'Settings'!$I$10:$I$39,0)),""))</f>
        <v/>
      </c>
      <c r="J1474" s="6" t="n"/>
      <c r="K1474" s="8" t="n"/>
      <c r="L1474" s="8" t="n"/>
      <c r="M1474" s="14">
        <f>IF($A1474="","",$J1474*$K1474)</f>
        <v/>
      </c>
      <c r="N1474" s="14">
        <f>IF($A1474="","",$M1474-$L1474)</f>
        <v/>
      </c>
      <c r="O1474" s="4" t="n"/>
      <c r="P1474" s="15">
        <f>IF($A1474="","",DATE(YEAR($A1474),MONTH($A1474),1))</f>
        <v/>
      </c>
      <c r="Q1474" s="16">
        <f>IF($H1474="","",$J1474*IFERROR(INDEX('Settings'!$L$10:$L$39,MATCH($H1474,'Settings'!$I$10:$I$39,0)),0))</f>
        <v/>
      </c>
      <c r="R1474" s="17">
        <f>IF($A1474="","",$A1474-WEEKDAY($A1474,2)+1)</f>
        <v/>
      </c>
    </row>
    <row r="1475">
      <c r="A1475" s="5" t="n"/>
      <c r="B1475" s="4" t="n"/>
      <c r="C1475" s="4" t="n"/>
      <c r="D1475" s="4" t="n"/>
      <c r="E1475" s="4" t="n"/>
      <c r="F1475" s="4" t="n"/>
      <c r="G1475" s="4" t="n"/>
      <c r="H1475" s="4" t="n"/>
      <c r="I1475" s="9">
        <f>IF($H1475="","",IFERROR(INDEX('Settings'!$J$10:$J$39,MATCH($H1475,'Settings'!$I$10:$I$39,0)),""))</f>
        <v/>
      </c>
      <c r="J1475" s="6" t="n"/>
      <c r="K1475" s="8" t="n"/>
      <c r="L1475" s="8" t="n"/>
      <c r="M1475" s="14">
        <f>IF($A1475="","",$J1475*$K1475)</f>
        <v/>
      </c>
      <c r="N1475" s="14">
        <f>IF($A1475="","",$M1475-$L1475)</f>
        <v/>
      </c>
      <c r="O1475" s="4" t="n"/>
      <c r="P1475" s="15">
        <f>IF($A1475="","",DATE(YEAR($A1475),MONTH($A1475),1))</f>
        <v/>
      </c>
      <c r="Q1475" s="16">
        <f>IF($H1475="","",$J1475*IFERROR(INDEX('Settings'!$L$10:$L$39,MATCH($H1475,'Settings'!$I$10:$I$39,0)),0))</f>
        <v/>
      </c>
      <c r="R1475" s="17">
        <f>IF($A1475="","",$A1475-WEEKDAY($A1475,2)+1)</f>
        <v/>
      </c>
    </row>
    <row r="1476">
      <c r="A1476" s="5" t="n"/>
      <c r="B1476" s="4" t="n"/>
      <c r="C1476" s="4" t="n"/>
      <c r="D1476" s="4" t="n"/>
      <c r="E1476" s="4" t="n"/>
      <c r="F1476" s="4" t="n"/>
      <c r="G1476" s="4" t="n"/>
      <c r="H1476" s="4" t="n"/>
      <c r="I1476" s="9">
        <f>IF($H1476="","",IFERROR(INDEX('Settings'!$J$10:$J$39,MATCH($H1476,'Settings'!$I$10:$I$39,0)),""))</f>
        <v/>
      </c>
      <c r="J1476" s="6" t="n"/>
      <c r="K1476" s="8" t="n"/>
      <c r="L1476" s="8" t="n"/>
      <c r="M1476" s="14">
        <f>IF($A1476="","",$J1476*$K1476)</f>
        <v/>
      </c>
      <c r="N1476" s="14">
        <f>IF($A1476="","",$M1476-$L1476)</f>
        <v/>
      </c>
      <c r="O1476" s="4" t="n"/>
      <c r="P1476" s="15">
        <f>IF($A1476="","",DATE(YEAR($A1476),MONTH($A1476),1))</f>
        <v/>
      </c>
      <c r="Q1476" s="16">
        <f>IF($H1476="","",$J1476*IFERROR(INDEX('Settings'!$L$10:$L$39,MATCH($H1476,'Settings'!$I$10:$I$39,0)),0))</f>
        <v/>
      </c>
      <c r="R1476" s="17">
        <f>IF($A1476="","",$A1476-WEEKDAY($A1476,2)+1)</f>
        <v/>
      </c>
    </row>
    <row r="1477">
      <c r="A1477" s="5" t="n"/>
      <c r="B1477" s="4" t="n"/>
      <c r="C1477" s="4" t="n"/>
      <c r="D1477" s="4" t="n"/>
      <c r="E1477" s="4" t="n"/>
      <c r="F1477" s="4" t="n"/>
      <c r="G1477" s="4" t="n"/>
      <c r="H1477" s="4" t="n"/>
      <c r="I1477" s="9">
        <f>IF($H1477="","",IFERROR(INDEX('Settings'!$J$10:$J$39,MATCH($H1477,'Settings'!$I$10:$I$39,0)),""))</f>
        <v/>
      </c>
      <c r="J1477" s="6" t="n"/>
      <c r="K1477" s="8" t="n"/>
      <c r="L1477" s="8" t="n"/>
      <c r="M1477" s="14">
        <f>IF($A1477="","",$J1477*$K1477)</f>
        <v/>
      </c>
      <c r="N1477" s="14">
        <f>IF($A1477="","",$M1477-$L1477)</f>
        <v/>
      </c>
      <c r="O1477" s="4" t="n"/>
      <c r="P1477" s="15">
        <f>IF($A1477="","",DATE(YEAR($A1477),MONTH($A1477),1))</f>
        <v/>
      </c>
      <c r="Q1477" s="16">
        <f>IF($H1477="","",$J1477*IFERROR(INDEX('Settings'!$L$10:$L$39,MATCH($H1477,'Settings'!$I$10:$I$39,0)),0))</f>
        <v/>
      </c>
      <c r="R1477" s="17">
        <f>IF($A1477="","",$A1477-WEEKDAY($A1477,2)+1)</f>
        <v/>
      </c>
    </row>
    <row r="1478">
      <c r="A1478" s="5" t="n"/>
      <c r="B1478" s="4" t="n"/>
      <c r="C1478" s="4" t="n"/>
      <c r="D1478" s="4" t="n"/>
      <c r="E1478" s="4" t="n"/>
      <c r="F1478" s="4" t="n"/>
      <c r="G1478" s="4" t="n"/>
      <c r="H1478" s="4" t="n"/>
      <c r="I1478" s="9">
        <f>IF($H1478="","",IFERROR(INDEX('Settings'!$J$10:$J$39,MATCH($H1478,'Settings'!$I$10:$I$39,0)),""))</f>
        <v/>
      </c>
      <c r="J1478" s="6" t="n"/>
      <c r="K1478" s="8" t="n"/>
      <c r="L1478" s="8" t="n"/>
      <c r="M1478" s="14">
        <f>IF($A1478="","",$J1478*$K1478)</f>
        <v/>
      </c>
      <c r="N1478" s="14">
        <f>IF($A1478="","",$M1478-$L1478)</f>
        <v/>
      </c>
      <c r="O1478" s="4" t="n"/>
      <c r="P1478" s="15">
        <f>IF($A1478="","",DATE(YEAR($A1478),MONTH($A1478),1))</f>
        <v/>
      </c>
      <c r="Q1478" s="16">
        <f>IF($H1478="","",$J1478*IFERROR(INDEX('Settings'!$L$10:$L$39,MATCH($H1478,'Settings'!$I$10:$I$39,0)),0))</f>
        <v/>
      </c>
      <c r="R1478" s="17">
        <f>IF($A1478="","",$A1478-WEEKDAY($A1478,2)+1)</f>
        <v/>
      </c>
    </row>
    <row r="1479">
      <c r="A1479" s="5" t="n"/>
      <c r="B1479" s="4" t="n"/>
      <c r="C1479" s="4" t="n"/>
      <c r="D1479" s="4" t="n"/>
      <c r="E1479" s="4" t="n"/>
      <c r="F1479" s="4" t="n"/>
      <c r="G1479" s="4" t="n"/>
      <c r="H1479" s="4" t="n"/>
      <c r="I1479" s="9">
        <f>IF($H1479="","",IFERROR(INDEX('Settings'!$J$10:$J$39,MATCH($H1479,'Settings'!$I$10:$I$39,0)),""))</f>
        <v/>
      </c>
      <c r="J1479" s="6" t="n"/>
      <c r="K1479" s="8" t="n"/>
      <c r="L1479" s="8" t="n"/>
      <c r="M1479" s="14">
        <f>IF($A1479="","",$J1479*$K1479)</f>
        <v/>
      </c>
      <c r="N1479" s="14">
        <f>IF($A1479="","",$M1479-$L1479)</f>
        <v/>
      </c>
      <c r="O1479" s="4" t="n"/>
      <c r="P1479" s="15">
        <f>IF($A1479="","",DATE(YEAR($A1479),MONTH($A1479),1))</f>
        <v/>
      </c>
      <c r="Q1479" s="16">
        <f>IF($H1479="","",$J1479*IFERROR(INDEX('Settings'!$L$10:$L$39,MATCH($H1479,'Settings'!$I$10:$I$39,0)),0))</f>
        <v/>
      </c>
      <c r="R1479" s="17">
        <f>IF($A1479="","",$A1479-WEEKDAY($A1479,2)+1)</f>
        <v/>
      </c>
    </row>
    <row r="1480">
      <c r="A1480" s="5" t="n"/>
      <c r="B1480" s="4" t="n"/>
      <c r="C1480" s="4" t="n"/>
      <c r="D1480" s="4" t="n"/>
      <c r="E1480" s="4" t="n"/>
      <c r="F1480" s="4" t="n"/>
      <c r="G1480" s="4" t="n"/>
      <c r="H1480" s="4" t="n"/>
      <c r="I1480" s="9">
        <f>IF($H1480="","",IFERROR(INDEX('Settings'!$J$10:$J$39,MATCH($H1480,'Settings'!$I$10:$I$39,0)),""))</f>
        <v/>
      </c>
      <c r="J1480" s="6" t="n"/>
      <c r="K1480" s="8" t="n"/>
      <c r="L1480" s="8" t="n"/>
      <c r="M1480" s="14">
        <f>IF($A1480="","",$J1480*$K1480)</f>
        <v/>
      </c>
      <c r="N1480" s="14">
        <f>IF($A1480="","",$M1480-$L1480)</f>
        <v/>
      </c>
      <c r="O1480" s="4" t="n"/>
      <c r="P1480" s="15">
        <f>IF($A1480="","",DATE(YEAR($A1480),MONTH($A1480),1))</f>
        <v/>
      </c>
      <c r="Q1480" s="16">
        <f>IF($H1480="","",$J1480*IFERROR(INDEX('Settings'!$L$10:$L$39,MATCH($H1480,'Settings'!$I$10:$I$39,0)),0))</f>
        <v/>
      </c>
      <c r="R1480" s="17">
        <f>IF($A1480="","",$A1480-WEEKDAY($A1480,2)+1)</f>
        <v/>
      </c>
    </row>
    <row r="1481">
      <c r="A1481" s="5" t="n"/>
      <c r="B1481" s="4" t="n"/>
      <c r="C1481" s="4" t="n"/>
      <c r="D1481" s="4" t="n"/>
      <c r="E1481" s="4" t="n"/>
      <c r="F1481" s="4" t="n"/>
      <c r="G1481" s="4" t="n"/>
      <c r="H1481" s="4" t="n"/>
      <c r="I1481" s="9">
        <f>IF($H1481="","",IFERROR(INDEX('Settings'!$J$10:$J$39,MATCH($H1481,'Settings'!$I$10:$I$39,0)),""))</f>
        <v/>
      </c>
      <c r="J1481" s="6" t="n"/>
      <c r="K1481" s="8" t="n"/>
      <c r="L1481" s="8" t="n"/>
      <c r="M1481" s="14">
        <f>IF($A1481="","",$J1481*$K1481)</f>
        <v/>
      </c>
      <c r="N1481" s="14">
        <f>IF($A1481="","",$M1481-$L1481)</f>
        <v/>
      </c>
      <c r="O1481" s="4" t="n"/>
      <c r="P1481" s="15">
        <f>IF($A1481="","",DATE(YEAR($A1481),MONTH($A1481),1))</f>
        <v/>
      </c>
      <c r="Q1481" s="16">
        <f>IF($H1481="","",$J1481*IFERROR(INDEX('Settings'!$L$10:$L$39,MATCH($H1481,'Settings'!$I$10:$I$39,0)),0))</f>
        <v/>
      </c>
      <c r="R1481" s="17">
        <f>IF($A1481="","",$A1481-WEEKDAY($A1481,2)+1)</f>
        <v/>
      </c>
    </row>
    <row r="1482">
      <c r="A1482" s="5" t="n"/>
      <c r="B1482" s="4" t="n"/>
      <c r="C1482" s="4" t="n"/>
      <c r="D1482" s="4" t="n"/>
      <c r="E1482" s="4" t="n"/>
      <c r="F1482" s="4" t="n"/>
      <c r="G1482" s="4" t="n"/>
      <c r="H1482" s="4" t="n"/>
      <c r="I1482" s="9">
        <f>IF($H1482="","",IFERROR(INDEX('Settings'!$J$10:$J$39,MATCH($H1482,'Settings'!$I$10:$I$39,0)),""))</f>
        <v/>
      </c>
      <c r="J1482" s="6" t="n"/>
      <c r="K1482" s="8" t="n"/>
      <c r="L1482" s="8" t="n"/>
      <c r="M1482" s="14">
        <f>IF($A1482="","",$J1482*$K1482)</f>
        <v/>
      </c>
      <c r="N1482" s="14">
        <f>IF($A1482="","",$M1482-$L1482)</f>
        <v/>
      </c>
      <c r="O1482" s="4" t="n"/>
      <c r="P1482" s="15">
        <f>IF($A1482="","",DATE(YEAR($A1482),MONTH($A1482),1))</f>
        <v/>
      </c>
      <c r="Q1482" s="16">
        <f>IF($H1482="","",$J1482*IFERROR(INDEX('Settings'!$L$10:$L$39,MATCH($H1482,'Settings'!$I$10:$I$39,0)),0))</f>
        <v/>
      </c>
      <c r="R1482" s="17">
        <f>IF($A1482="","",$A1482-WEEKDAY($A1482,2)+1)</f>
        <v/>
      </c>
    </row>
    <row r="1483">
      <c r="A1483" s="5" t="n"/>
      <c r="B1483" s="4" t="n"/>
      <c r="C1483" s="4" t="n"/>
      <c r="D1483" s="4" t="n"/>
      <c r="E1483" s="4" t="n"/>
      <c r="F1483" s="4" t="n"/>
      <c r="G1483" s="4" t="n"/>
      <c r="H1483" s="4" t="n"/>
      <c r="I1483" s="9">
        <f>IF($H1483="","",IFERROR(INDEX('Settings'!$J$10:$J$39,MATCH($H1483,'Settings'!$I$10:$I$39,0)),""))</f>
        <v/>
      </c>
      <c r="J1483" s="6" t="n"/>
      <c r="K1483" s="8" t="n"/>
      <c r="L1483" s="8" t="n"/>
      <c r="M1483" s="14">
        <f>IF($A1483="","",$J1483*$K1483)</f>
        <v/>
      </c>
      <c r="N1483" s="14">
        <f>IF($A1483="","",$M1483-$L1483)</f>
        <v/>
      </c>
      <c r="O1483" s="4" t="n"/>
      <c r="P1483" s="15">
        <f>IF($A1483="","",DATE(YEAR($A1483),MONTH($A1483),1))</f>
        <v/>
      </c>
      <c r="Q1483" s="16">
        <f>IF($H1483="","",$J1483*IFERROR(INDEX('Settings'!$L$10:$L$39,MATCH($H1483,'Settings'!$I$10:$I$39,0)),0))</f>
        <v/>
      </c>
      <c r="R1483" s="17">
        <f>IF($A1483="","",$A1483-WEEKDAY($A1483,2)+1)</f>
        <v/>
      </c>
    </row>
    <row r="1484">
      <c r="A1484" s="5" t="n"/>
      <c r="B1484" s="4" t="n"/>
      <c r="C1484" s="4" t="n"/>
      <c r="D1484" s="4" t="n"/>
      <c r="E1484" s="4" t="n"/>
      <c r="F1484" s="4" t="n"/>
      <c r="G1484" s="4" t="n"/>
      <c r="H1484" s="4" t="n"/>
      <c r="I1484" s="9">
        <f>IF($H1484="","",IFERROR(INDEX('Settings'!$J$10:$J$39,MATCH($H1484,'Settings'!$I$10:$I$39,0)),""))</f>
        <v/>
      </c>
      <c r="J1484" s="6" t="n"/>
      <c r="K1484" s="8" t="n"/>
      <c r="L1484" s="8" t="n"/>
      <c r="M1484" s="14">
        <f>IF($A1484="","",$J1484*$K1484)</f>
        <v/>
      </c>
      <c r="N1484" s="14">
        <f>IF($A1484="","",$M1484-$L1484)</f>
        <v/>
      </c>
      <c r="O1484" s="4" t="n"/>
      <c r="P1484" s="15">
        <f>IF($A1484="","",DATE(YEAR($A1484),MONTH($A1484),1))</f>
        <v/>
      </c>
      <c r="Q1484" s="16">
        <f>IF($H1484="","",$J1484*IFERROR(INDEX('Settings'!$L$10:$L$39,MATCH($H1484,'Settings'!$I$10:$I$39,0)),0))</f>
        <v/>
      </c>
      <c r="R1484" s="17">
        <f>IF($A1484="","",$A1484-WEEKDAY($A1484,2)+1)</f>
        <v/>
      </c>
    </row>
    <row r="1485">
      <c r="A1485" s="5" t="n"/>
      <c r="B1485" s="4" t="n"/>
      <c r="C1485" s="4" t="n"/>
      <c r="D1485" s="4" t="n"/>
      <c r="E1485" s="4" t="n"/>
      <c r="F1485" s="4" t="n"/>
      <c r="G1485" s="4" t="n"/>
      <c r="H1485" s="4" t="n"/>
      <c r="I1485" s="9">
        <f>IF($H1485="","",IFERROR(INDEX('Settings'!$J$10:$J$39,MATCH($H1485,'Settings'!$I$10:$I$39,0)),""))</f>
        <v/>
      </c>
      <c r="J1485" s="6" t="n"/>
      <c r="K1485" s="8" t="n"/>
      <c r="L1485" s="8" t="n"/>
      <c r="M1485" s="14">
        <f>IF($A1485="","",$J1485*$K1485)</f>
        <v/>
      </c>
      <c r="N1485" s="14">
        <f>IF($A1485="","",$M1485-$L1485)</f>
        <v/>
      </c>
      <c r="O1485" s="4" t="n"/>
      <c r="P1485" s="15">
        <f>IF($A1485="","",DATE(YEAR($A1485),MONTH($A1485),1))</f>
        <v/>
      </c>
      <c r="Q1485" s="16">
        <f>IF($H1485="","",$J1485*IFERROR(INDEX('Settings'!$L$10:$L$39,MATCH($H1485,'Settings'!$I$10:$I$39,0)),0))</f>
        <v/>
      </c>
      <c r="R1485" s="17">
        <f>IF($A1485="","",$A1485-WEEKDAY($A1485,2)+1)</f>
        <v/>
      </c>
    </row>
    <row r="1486">
      <c r="A1486" s="5" t="n"/>
      <c r="B1486" s="4" t="n"/>
      <c r="C1486" s="4" t="n"/>
      <c r="D1486" s="4" t="n"/>
      <c r="E1486" s="4" t="n"/>
      <c r="F1486" s="4" t="n"/>
      <c r="G1486" s="4" t="n"/>
      <c r="H1486" s="4" t="n"/>
      <c r="I1486" s="9">
        <f>IF($H1486="","",IFERROR(INDEX('Settings'!$J$10:$J$39,MATCH($H1486,'Settings'!$I$10:$I$39,0)),""))</f>
        <v/>
      </c>
      <c r="J1486" s="6" t="n"/>
      <c r="K1486" s="8" t="n"/>
      <c r="L1486" s="8" t="n"/>
      <c r="M1486" s="14">
        <f>IF($A1486="","",$J1486*$K1486)</f>
        <v/>
      </c>
      <c r="N1486" s="14">
        <f>IF($A1486="","",$M1486-$L1486)</f>
        <v/>
      </c>
      <c r="O1486" s="4" t="n"/>
      <c r="P1486" s="15">
        <f>IF($A1486="","",DATE(YEAR($A1486),MONTH($A1486),1))</f>
        <v/>
      </c>
      <c r="Q1486" s="16">
        <f>IF($H1486="","",$J1486*IFERROR(INDEX('Settings'!$L$10:$L$39,MATCH($H1486,'Settings'!$I$10:$I$39,0)),0))</f>
        <v/>
      </c>
      <c r="R1486" s="17">
        <f>IF($A1486="","",$A1486-WEEKDAY($A1486,2)+1)</f>
        <v/>
      </c>
    </row>
    <row r="1487">
      <c r="A1487" s="5" t="n"/>
      <c r="B1487" s="4" t="n"/>
      <c r="C1487" s="4" t="n"/>
      <c r="D1487" s="4" t="n"/>
      <c r="E1487" s="4" t="n"/>
      <c r="F1487" s="4" t="n"/>
      <c r="G1487" s="4" t="n"/>
      <c r="H1487" s="4" t="n"/>
      <c r="I1487" s="9">
        <f>IF($H1487="","",IFERROR(INDEX('Settings'!$J$10:$J$39,MATCH($H1487,'Settings'!$I$10:$I$39,0)),""))</f>
        <v/>
      </c>
      <c r="J1487" s="6" t="n"/>
      <c r="K1487" s="8" t="n"/>
      <c r="L1487" s="8" t="n"/>
      <c r="M1487" s="14">
        <f>IF($A1487="","",$J1487*$K1487)</f>
        <v/>
      </c>
      <c r="N1487" s="14">
        <f>IF($A1487="","",$M1487-$L1487)</f>
        <v/>
      </c>
      <c r="O1487" s="4" t="n"/>
      <c r="P1487" s="15">
        <f>IF($A1487="","",DATE(YEAR($A1487),MONTH($A1487),1))</f>
        <v/>
      </c>
      <c r="Q1487" s="16">
        <f>IF($H1487="","",$J1487*IFERROR(INDEX('Settings'!$L$10:$L$39,MATCH($H1487,'Settings'!$I$10:$I$39,0)),0))</f>
        <v/>
      </c>
      <c r="R1487" s="17">
        <f>IF($A1487="","",$A1487-WEEKDAY($A1487,2)+1)</f>
        <v/>
      </c>
    </row>
    <row r="1488">
      <c r="A1488" s="5" t="n"/>
      <c r="B1488" s="4" t="n"/>
      <c r="C1488" s="4" t="n"/>
      <c r="D1488" s="4" t="n"/>
      <c r="E1488" s="4" t="n"/>
      <c r="F1488" s="4" t="n"/>
      <c r="G1488" s="4" t="n"/>
      <c r="H1488" s="4" t="n"/>
      <c r="I1488" s="9">
        <f>IF($H1488="","",IFERROR(INDEX('Settings'!$J$10:$J$39,MATCH($H1488,'Settings'!$I$10:$I$39,0)),""))</f>
        <v/>
      </c>
      <c r="J1488" s="6" t="n"/>
      <c r="K1488" s="8" t="n"/>
      <c r="L1488" s="8" t="n"/>
      <c r="M1488" s="14">
        <f>IF($A1488="","",$J1488*$K1488)</f>
        <v/>
      </c>
      <c r="N1488" s="14">
        <f>IF($A1488="","",$M1488-$L1488)</f>
        <v/>
      </c>
      <c r="O1488" s="4" t="n"/>
      <c r="P1488" s="15">
        <f>IF($A1488="","",DATE(YEAR($A1488),MONTH($A1488),1))</f>
        <v/>
      </c>
      <c r="Q1488" s="16">
        <f>IF($H1488="","",$J1488*IFERROR(INDEX('Settings'!$L$10:$L$39,MATCH($H1488,'Settings'!$I$10:$I$39,0)),0))</f>
        <v/>
      </c>
      <c r="R1488" s="17">
        <f>IF($A1488="","",$A1488-WEEKDAY($A1488,2)+1)</f>
        <v/>
      </c>
    </row>
    <row r="1489">
      <c r="A1489" s="5" t="n"/>
      <c r="B1489" s="4" t="n"/>
      <c r="C1489" s="4" t="n"/>
      <c r="D1489" s="4" t="n"/>
      <c r="E1489" s="4" t="n"/>
      <c r="F1489" s="4" t="n"/>
      <c r="G1489" s="4" t="n"/>
      <c r="H1489" s="4" t="n"/>
      <c r="I1489" s="9">
        <f>IF($H1489="","",IFERROR(INDEX('Settings'!$J$10:$J$39,MATCH($H1489,'Settings'!$I$10:$I$39,0)),""))</f>
        <v/>
      </c>
      <c r="J1489" s="6" t="n"/>
      <c r="K1489" s="8" t="n"/>
      <c r="L1489" s="8" t="n"/>
      <c r="M1489" s="14">
        <f>IF($A1489="","",$J1489*$K1489)</f>
        <v/>
      </c>
      <c r="N1489" s="14">
        <f>IF($A1489="","",$M1489-$L1489)</f>
        <v/>
      </c>
      <c r="O1489" s="4" t="n"/>
      <c r="P1489" s="15">
        <f>IF($A1489="","",DATE(YEAR($A1489),MONTH($A1489),1))</f>
        <v/>
      </c>
      <c r="Q1489" s="16">
        <f>IF($H1489="","",$J1489*IFERROR(INDEX('Settings'!$L$10:$L$39,MATCH($H1489,'Settings'!$I$10:$I$39,0)),0))</f>
        <v/>
      </c>
      <c r="R1489" s="17">
        <f>IF($A1489="","",$A1489-WEEKDAY($A1489,2)+1)</f>
        <v/>
      </c>
    </row>
    <row r="1490">
      <c r="A1490" s="5" t="n"/>
      <c r="B1490" s="4" t="n"/>
      <c r="C1490" s="4" t="n"/>
      <c r="D1490" s="4" t="n"/>
      <c r="E1490" s="4" t="n"/>
      <c r="F1490" s="4" t="n"/>
      <c r="G1490" s="4" t="n"/>
      <c r="H1490" s="4" t="n"/>
      <c r="I1490" s="9">
        <f>IF($H1490="","",IFERROR(INDEX('Settings'!$J$10:$J$39,MATCH($H1490,'Settings'!$I$10:$I$39,0)),""))</f>
        <v/>
      </c>
      <c r="J1490" s="6" t="n"/>
      <c r="K1490" s="8" t="n"/>
      <c r="L1490" s="8" t="n"/>
      <c r="M1490" s="14">
        <f>IF($A1490="","",$J1490*$K1490)</f>
        <v/>
      </c>
      <c r="N1490" s="14">
        <f>IF($A1490="","",$M1490-$L1490)</f>
        <v/>
      </c>
      <c r="O1490" s="4" t="n"/>
      <c r="P1490" s="15">
        <f>IF($A1490="","",DATE(YEAR($A1490),MONTH($A1490),1))</f>
        <v/>
      </c>
      <c r="Q1490" s="16">
        <f>IF($H1490="","",$J1490*IFERROR(INDEX('Settings'!$L$10:$L$39,MATCH($H1490,'Settings'!$I$10:$I$39,0)),0))</f>
        <v/>
      </c>
      <c r="R1490" s="17">
        <f>IF($A1490="","",$A1490-WEEKDAY($A1490,2)+1)</f>
        <v/>
      </c>
    </row>
    <row r="1491">
      <c r="A1491" s="5" t="n"/>
      <c r="B1491" s="4" t="n"/>
      <c r="C1491" s="4" t="n"/>
      <c r="D1491" s="4" t="n"/>
      <c r="E1491" s="4" t="n"/>
      <c r="F1491" s="4" t="n"/>
      <c r="G1491" s="4" t="n"/>
      <c r="H1491" s="4" t="n"/>
      <c r="I1491" s="9">
        <f>IF($H1491="","",IFERROR(INDEX('Settings'!$J$10:$J$39,MATCH($H1491,'Settings'!$I$10:$I$39,0)),""))</f>
        <v/>
      </c>
      <c r="J1491" s="6" t="n"/>
      <c r="K1491" s="8" t="n"/>
      <c r="L1491" s="8" t="n"/>
      <c r="M1491" s="14">
        <f>IF($A1491="","",$J1491*$K1491)</f>
        <v/>
      </c>
      <c r="N1491" s="14">
        <f>IF($A1491="","",$M1491-$L1491)</f>
        <v/>
      </c>
      <c r="O1491" s="4" t="n"/>
      <c r="P1491" s="15">
        <f>IF($A1491="","",DATE(YEAR($A1491),MONTH($A1491),1))</f>
        <v/>
      </c>
      <c r="Q1491" s="16">
        <f>IF($H1491="","",$J1491*IFERROR(INDEX('Settings'!$L$10:$L$39,MATCH($H1491,'Settings'!$I$10:$I$39,0)),0))</f>
        <v/>
      </c>
      <c r="R1491" s="17">
        <f>IF($A1491="","",$A1491-WEEKDAY($A1491,2)+1)</f>
        <v/>
      </c>
    </row>
    <row r="1492">
      <c r="A1492" s="5" t="n"/>
      <c r="B1492" s="4" t="n"/>
      <c r="C1492" s="4" t="n"/>
      <c r="D1492" s="4" t="n"/>
      <c r="E1492" s="4" t="n"/>
      <c r="F1492" s="4" t="n"/>
      <c r="G1492" s="4" t="n"/>
      <c r="H1492" s="4" t="n"/>
      <c r="I1492" s="9">
        <f>IF($H1492="","",IFERROR(INDEX('Settings'!$J$10:$J$39,MATCH($H1492,'Settings'!$I$10:$I$39,0)),""))</f>
        <v/>
      </c>
      <c r="J1492" s="6" t="n"/>
      <c r="K1492" s="8" t="n"/>
      <c r="L1492" s="8" t="n"/>
      <c r="M1492" s="14">
        <f>IF($A1492="","",$J1492*$K1492)</f>
        <v/>
      </c>
      <c r="N1492" s="14">
        <f>IF($A1492="","",$M1492-$L1492)</f>
        <v/>
      </c>
      <c r="O1492" s="4" t="n"/>
      <c r="P1492" s="15">
        <f>IF($A1492="","",DATE(YEAR($A1492),MONTH($A1492),1))</f>
        <v/>
      </c>
      <c r="Q1492" s="16">
        <f>IF($H1492="","",$J1492*IFERROR(INDEX('Settings'!$L$10:$L$39,MATCH($H1492,'Settings'!$I$10:$I$39,0)),0))</f>
        <v/>
      </c>
      <c r="R1492" s="17">
        <f>IF($A1492="","",$A1492-WEEKDAY($A1492,2)+1)</f>
        <v/>
      </c>
    </row>
    <row r="1493">
      <c r="A1493" s="5" t="n"/>
      <c r="B1493" s="4" t="n"/>
      <c r="C1493" s="4" t="n"/>
      <c r="D1493" s="4" t="n"/>
      <c r="E1493" s="4" t="n"/>
      <c r="F1493" s="4" t="n"/>
      <c r="G1493" s="4" t="n"/>
      <c r="H1493" s="4" t="n"/>
      <c r="I1493" s="9">
        <f>IF($H1493="","",IFERROR(INDEX('Settings'!$J$10:$J$39,MATCH($H1493,'Settings'!$I$10:$I$39,0)),""))</f>
        <v/>
      </c>
      <c r="J1493" s="6" t="n"/>
      <c r="K1493" s="8" t="n"/>
      <c r="L1493" s="8" t="n"/>
      <c r="M1493" s="14">
        <f>IF($A1493="","",$J1493*$K1493)</f>
        <v/>
      </c>
      <c r="N1493" s="14">
        <f>IF($A1493="","",$M1493-$L1493)</f>
        <v/>
      </c>
      <c r="O1493" s="4" t="n"/>
      <c r="P1493" s="15">
        <f>IF($A1493="","",DATE(YEAR($A1493),MONTH($A1493),1))</f>
        <v/>
      </c>
      <c r="Q1493" s="16">
        <f>IF($H1493="","",$J1493*IFERROR(INDEX('Settings'!$L$10:$L$39,MATCH($H1493,'Settings'!$I$10:$I$39,0)),0))</f>
        <v/>
      </c>
      <c r="R1493" s="17">
        <f>IF($A1493="","",$A1493-WEEKDAY($A1493,2)+1)</f>
        <v/>
      </c>
    </row>
    <row r="1494">
      <c r="A1494" s="5" t="n"/>
      <c r="B1494" s="4" t="n"/>
      <c r="C1494" s="4" t="n"/>
      <c r="D1494" s="4" t="n"/>
      <c r="E1494" s="4" t="n"/>
      <c r="F1494" s="4" t="n"/>
      <c r="G1494" s="4" t="n"/>
      <c r="H1494" s="4" t="n"/>
      <c r="I1494" s="9">
        <f>IF($H1494="","",IFERROR(INDEX('Settings'!$J$10:$J$39,MATCH($H1494,'Settings'!$I$10:$I$39,0)),""))</f>
        <v/>
      </c>
      <c r="J1494" s="6" t="n"/>
      <c r="K1494" s="8" t="n"/>
      <c r="L1494" s="8" t="n"/>
      <c r="M1494" s="14">
        <f>IF($A1494="","",$J1494*$K1494)</f>
        <v/>
      </c>
      <c r="N1494" s="14">
        <f>IF($A1494="","",$M1494-$L1494)</f>
        <v/>
      </c>
      <c r="O1494" s="4" t="n"/>
      <c r="P1494" s="15">
        <f>IF($A1494="","",DATE(YEAR($A1494),MONTH($A1494),1))</f>
        <v/>
      </c>
      <c r="Q1494" s="16">
        <f>IF($H1494="","",$J1494*IFERROR(INDEX('Settings'!$L$10:$L$39,MATCH($H1494,'Settings'!$I$10:$I$39,0)),0))</f>
        <v/>
      </c>
      <c r="R1494" s="17">
        <f>IF($A1494="","",$A1494-WEEKDAY($A1494,2)+1)</f>
        <v/>
      </c>
    </row>
    <row r="1495">
      <c r="A1495" s="5" t="n"/>
      <c r="B1495" s="4" t="n"/>
      <c r="C1495" s="4" t="n"/>
      <c r="D1495" s="4" t="n"/>
      <c r="E1495" s="4" t="n"/>
      <c r="F1495" s="4" t="n"/>
      <c r="G1495" s="4" t="n"/>
      <c r="H1495" s="4" t="n"/>
      <c r="I1495" s="9">
        <f>IF($H1495="","",IFERROR(INDEX('Settings'!$J$10:$J$39,MATCH($H1495,'Settings'!$I$10:$I$39,0)),""))</f>
        <v/>
      </c>
      <c r="J1495" s="6" t="n"/>
      <c r="K1495" s="8" t="n"/>
      <c r="L1495" s="8" t="n"/>
      <c r="M1495" s="14">
        <f>IF($A1495="","",$J1495*$K1495)</f>
        <v/>
      </c>
      <c r="N1495" s="14">
        <f>IF($A1495="","",$M1495-$L1495)</f>
        <v/>
      </c>
      <c r="O1495" s="4" t="n"/>
      <c r="P1495" s="15">
        <f>IF($A1495="","",DATE(YEAR($A1495),MONTH($A1495),1))</f>
        <v/>
      </c>
      <c r="Q1495" s="16">
        <f>IF($H1495="","",$J1495*IFERROR(INDEX('Settings'!$L$10:$L$39,MATCH($H1495,'Settings'!$I$10:$I$39,0)),0))</f>
        <v/>
      </c>
      <c r="R1495" s="17">
        <f>IF($A1495="","",$A1495-WEEKDAY($A1495,2)+1)</f>
        <v/>
      </c>
    </row>
    <row r="1496">
      <c r="A1496" s="5" t="n"/>
      <c r="B1496" s="4" t="n"/>
      <c r="C1496" s="4" t="n"/>
      <c r="D1496" s="4" t="n"/>
      <c r="E1496" s="4" t="n"/>
      <c r="F1496" s="4" t="n"/>
      <c r="G1496" s="4" t="n"/>
      <c r="H1496" s="4" t="n"/>
      <c r="I1496" s="9">
        <f>IF($H1496="","",IFERROR(INDEX('Settings'!$J$10:$J$39,MATCH($H1496,'Settings'!$I$10:$I$39,0)),""))</f>
        <v/>
      </c>
      <c r="J1496" s="6" t="n"/>
      <c r="K1496" s="8" t="n"/>
      <c r="L1496" s="8" t="n"/>
      <c r="M1496" s="14">
        <f>IF($A1496="","",$J1496*$K1496)</f>
        <v/>
      </c>
      <c r="N1496" s="14">
        <f>IF($A1496="","",$M1496-$L1496)</f>
        <v/>
      </c>
      <c r="O1496" s="4" t="n"/>
      <c r="P1496" s="15">
        <f>IF($A1496="","",DATE(YEAR($A1496),MONTH($A1496),1))</f>
        <v/>
      </c>
      <c r="Q1496" s="16">
        <f>IF($H1496="","",$J1496*IFERROR(INDEX('Settings'!$L$10:$L$39,MATCH($H1496,'Settings'!$I$10:$I$39,0)),0))</f>
        <v/>
      </c>
      <c r="R1496" s="17">
        <f>IF($A1496="","",$A1496-WEEKDAY($A1496,2)+1)</f>
        <v/>
      </c>
    </row>
    <row r="1497">
      <c r="A1497" s="5" t="n"/>
      <c r="B1497" s="4" t="n"/>
      <c r="C1497" s="4" t="n"/>
      <c r="D1497" s="4" t="n"/>
      <c r="E1497" s="4" t="n"/>
      <c r="F1497" s="4" t="n"/>
      <c r="G1497" s="4" t="n"/>
      <c r="H1497" s="4" t="n"/>
      <c r="I1497" s="9">
        <f>IF($H1497="","",IFERROR(INDEX('Settings'!$J$10:$J$39,MATCH($H1497,'Settings'!$I$10:$I$39,0)),""))</f>
        <v/>
      </c>
      <c r="J1497" s="6" t="n"/>
      <c r="K1497" s="8" t="n"/>
      <c r="L1497" s="8" t="n"/>
      <c r="M1497" s="14">
        <f>IF($A1497="","",$J1497*$K1497)</f>
        <v/>
      </c>
      <c r="N1497" s="14">
        <f>IF($A1497="","",$M1497-$L1497)</f>
        <v/>
      </c>
      <c r="O1497" s="4" t="n"/>
      <c r="P1497" s="15">
        <f>IF($A1497="","",DATE(YEAR($A1497),MONTH($A1497),1))</f>
        <v/>
      </c>
      <c r="Q1497" s="16">
        <f>IF($H1497="","",$J1497*IFERROR(INDEX('Settings'!$L$10:$L$39,MATCH($H1497,'Settings'!$I$10:$I$39,0)),0))</f>
        <v/>
      </c>
      <c r="R1497" s="17">
        <f>IF($A1497="","",$A1497-WEEKDAY($A1497,2)+1)</f>
        <v/>
      </c>
    </row>
    <row r="1498">
      <c r="A1498" s="5" t="n"/>
      <c r="B1498" s="4" t="n"/>
      <c r="C1498" s="4" t="n"/>
      <c r="D1498" s="4" t="n"/>
      <c r="E1498" s="4" t="n"/>
      <c r="F1498" s="4" t="n"/>
      <c r="G1498" s="4" t="n"/>
      <c r="H1498" s="4" t="n"/>
      <c r="I1498" s="9">
        <f>IF($H1498="","",IFERROR(INDEX('Settings'!$J$10:$J$39,MATCH($H1498,'Settings'!$I$10:$I$39,0)),""))</f>
        <v/>
      </c>
      <c r="J1498" s="6" t="n"/>
      <c r="K1498" s="8" t="n"/>
      <c r="L1498" s="8" t="n"/>
      <c r="M1498" s="14">
        <f>IF($A1498="","",$J1498*$K1498)</f>
        <v/>
      </c>
      <c r="N1498" s="14">
        <f>IF($A1498="","",$M1498-$L1498)</f>
        <v/>
      </c>
      <c r="O1498" s="4" t="n"/>
      <c r="P1498" s="15">
        <f>IF($A1498="","",DATE(YEAR($A1498),MONTH($A1498),1))</f>
        <v/>
      </c>
      <c r="Q1498" s="16">
        <f>IF($H1498="","",$J1498*IFERROR(INDEX('Settings'!$L$10:$L$39,MATCH($H1498,'Settings'!$I$10:$I$39,0)),0))</f>
        <v/>
      </c>
      <c r="R1498" s="17">
        <f>IF($A1498="","",$A1498-WEEKDAY($A1498,2)+1)</f>
        <v/>
      </c>
    </row>
    <row r="1499">
      <c r="A1499" s="5" t="n"/>
      <c r="B1499" s="4" t="n"/>
      <c r="C1499" s="4" t="n"/>
      <c r="D1499" s="4" t="n"/>
      <c r="E1499" s="4" t="n"/>
      <c r="F1499" s="4" t="n"/>
      <c r="G1499" s="4" t="n"/>
      <c r="H1499" s="4" t="n"/>
      <c r="I1499" s="9">
        <f>IF($H1499="","",IFERROR(INDEX('Settings'!$J$10:$J$39,MATCH($H1499,'Settings'!$I$10:$I$39,0)),""))</f>
        <v/>
      </c>
      <c r="J1499" s="6" t="n"/>
      <c r="K1499" s="8" t="n"/>
      <c r="L1499" s="8" t="n"/>
      <c r="M1499" s="14">
        <f>IF($A1499="","",$J1499*$K1499)</f>
        <v/>
      </c>
      <c r="N1499" s="14">
        <f>IF($A1499="","",$M1499-$L1499)</f>
        <v/>
      </c>
      <c r="O1499" s="4" t="n"/>
      <c r="P1499" s="15">
        <f>IF($A1499="","",DATE(YEAR($A1499),MONTH($A1499),1))</f>
        <v/>
      </c>
      <c r="Q1499" s="16">
        <f>IF($H1499="","",$J1499*IFERROR(INDEX('Settings'!$L$10:$L$39,MATCH($H1499,'Settings'!$I$10:$I$39,0)),0))</f>
        <v/>
      </c>
      <c r="R1499" s="17">
        <f>IF($A1499="","",$A1499-WEEKDAY($A1499,2)+1)</f>
        <v/>
      </c>
    </row>
    <row r="1500">
      <c r="A1500" s="5" t="n"/>
      <c r="B1500" s="4" t="n"/>
      <c r="C1500" s="4" t="n"/>
      <c r="D1500" s="4" t="n"/>
      <c r="E1500" s="4" t="n"/>
      <c r="F1500" s="4" t="n"/>
      <c r="G1500" s="4" t="n"/>
      <c r="H1500" s="4" t="n"/>
      <c r="I1500" s="9">
        <f>IF($H1500="","",IFERROR(INDEX('Settings'!$J$10:$J$39,MATCH($H1500,'Settings'!$I$10:$I$39,0)),""))</f>
        <v/>
      </c>
      <c r="J1500" s="6" t="n"/>
      <c r="K1500" s="8" t="n"/>
      <c r="L1500" s="8" t="n"/>
      <c r="M1500" s="14">
        <f>IF($A1500="","",$J1500*$K1500)</f>
        <v/>
      </c>
      <c r="N1500" s="14">
        <f>IF($A1500="","",$M1500-$L1500)</f>
        <v/>
      </c>
      <c r="O1500" s="4" t="n"/>
      <c r="P1500" s="15">
        <f>IF($A1500="","",DATE(YEAR($A1500),MONTH($A1500),1))</f>
        <v/>
      </c>
      <c r="Q1500" s="16">
        <f>IF($H1500="","",$J1500*IFERROR(INDEX('Settings'!$L$10:$L$39,MATCH($H1500,'Settings'!$I$10:$I$39,0)),0))</f>
        <v/>
      </c>
      <c r="R1500" s="17">
        <f>IF($A1500="","",$A1500-WEEKDAY($A1500,2)+1)</f>
        <v/>
      </c>
    </row>
    <row r="1501">
      <c r="A1501" s="5" t="n"/>
      <c r="B1501" s="4" t="n"/>
      <c r="C1501" s="4" t="n"/>
      <c r="D1501" s="4" t="n"/>
      <c r="E1501" s="4" t="n"/>
      <c r="F1501" s="4" t="n"/>
      <c r="G1501" s="4" t="n"/>
      <c r="H1501" s="4" t="n"/>
      <c r="I1501" s="9">
        <f>IF($H1501="","",IFERROR(INDEX('Settings'!$J$10:$J$39,MATCH($H1501,'Settings'!$I$10:$I$39,0)),""))</f>
        <v/>
      </c>
      <c r="J1501" s="6" t="n"/>
      <c r="K1501" s="8" t="n"/>
      <c r="L1501" s="8" t="n"/>
      <c r="M1501" s="14">
        <f>IF($A1501="","",$J1501*$K1501)</f>
        <v/>
      </c>
      <c r="N1501" s="14">
        <f>IF($A1501="","",$M1501-$L1501)</f>
        <v/>
      </c>
      <c r="O1501" s="4" t="n"/>
      <c r="P1501" s="15">
        <f>IF($A1501="","",DATE(YEAR($A1501),MONTH($A1501),1))</f>
        <v/>
      </c>
      <c r="Q1501" s="16">
        <f>IF($H1501="","",$J1501*IFERROR(INDEX('Settings'!$L$10:$L$39,MATCH($H1501,'Settings'!$I$10:$I$39,0)),0))</f>
        <v/>
      </c>
      <c r="R1501" s="17">
        <f>IF($A1501="","",$A1501-WEEKDAY($A1501,2)+1)</f>
        <v/>
      </c>
    </row>
    <row r="1502">
      <c r="A1502" s="5" t="n"/>
      <c r="B1502" s="4" t="n"/>
      <c r="C1502" s="4" t="n"/>
      <c r="D1502" s="4" t="n"/>
      <c r="E1502" s="4" t="n"/>
      <c r="F1502" s="4" t="n"/>
      <c r="G1502" s="4" t="n"/>
      <c r="H1502" s="4" t="n"/>
      <c r="I1502" s="9">
        <f>IF($H1502="","",IFERROR(INDEX('Settings'!$J$10:$J$39,MATCH($H1502,'Settings'!$I$10:$I$39,0)),""))</f>
        <v/>
      </c>
      <c r="J1502" s="6" t="n"/>
      <c r="K1502" s="8" t="n"/>
      <c r="L1502" s="8" t="n"/>
      <c r="M1502" s="14">
        <f>IF($A1502="","",$J1502*$K1502)</f>
        <v/>
      </c>
      <c r="N1502" s="14">
        <f>IF($A1502="","",$M1502-$L1502)</f>
        <v/>
      </c>
      <c r="O1502" s="4" t="n"/>
      <c r="P1502" s="15">
        <f>IF($A1502="","",DATE(YEAR($A1502),MONTH($A1502),1))</f>
        <v/>
      </c>
      <c r="Q1502" s="16">
        <f>IF($H1502="","",$J1502*IFERROR(INDEX('Settings'!$L$10:$L$39,MATCH($H1502,'Settings'!$I$10:$I$39,0)),0))</f>
        <v/>
      </c>
      <c r="R1502" s="17">
        <f>IF($A1502="","",$A1502-WEEKDAY($A1502,2)+1)</f>
        <v/>
      </c>
    </row>
    <row r="1503">
      <c r="A1503" s="5" t="n"/>
      <c r="B1503" s="4" t="n"/>
      <c r="C1503" s="4" t="n"/>
      <c r="D1503" s="4" t="n"/>
      <c r="E1503" s="4" t="n"/>
      <c r="F1503" s="4" t="n"/>
      <c r="G1503" s="4" t="n"/>
      <c r="H1503" s="4" t="n"/>
      <c r="I1503" s="9">
        <f>IF($H1503="","",IFERROR(INDEX('Settings'!$J$10:$J$39,MATCH($H1503,'Settings'!$I$10:$I$39,0)),""))</f>
        <v/>
      </c>
      <c r="J1503" s="6" t="n"/>
      <c r="K1503" s="8" t="n"/>
      <c r="L1503" s="8" t="n"/>
      <c r="M1503" s="14">
        <f>IF($A1503="","",$J1503*$K1503)</f>
        <v/>
      </c>
      <c r="N1503" s="14">
        <f>IF($A1503="","",$M1503-$L1503)</f>
        <v/>
      </c>
      <c r="O1503" s="4" t="n"/>
      <c r="P1503" s="15">
        <f>IF($A1503="","",DATE(YEAR($A1503),MONTH($A1503),1))</f>
        <v/>
      </c>
      <c r="Q1503" s="16">
        <f>IF($H1503="","",$J1503*IFERROR(INDEX('Settings'!$L$10:$L$39,MATCH($H1503,'Settings'!$I$10:$I$39,0)),0))</f>
        <v/>
      </c>
      <c r="R1503" s="17">
        <f>IF($A1503="","",$A1503-WEEKDAY($A1503,2)+1)</f>
        <v/>
      </c>
    </row>
    <row r="1504">
      <c r="A1504" s="5" t="n"/>
      <c r="B1504" s="4" t="n"/>
      <c r="C1504" s="4" t="n"/>
      <c r="D1504" s="4" t="n"/>
      <c r="E1504" s="4" t="n"/>
      <c r="F1504" s="4" t="n"/>
      <c r="G1504" s="4" t="n"/>
      <c r="H1504" s="4" t="n"/>
      <c r="I1504" s="9">
        <f>IF($H1504="","",IFERROR(INDEX('Settings'!$J$10:$J$39,MATCH($H1504,'Settings'!$I$10:$I$39,0)),""))</f>
        <v/>
      </c>
      <c r="J1504" s="6" t="n"/>
      <c r="K1504" s="8" t="n"/>
      <c r="L1504" s="8" t="n"/>
      <c r="M1504" s="14">
        <f>IF($A1504="","",$J1504*$K1504)</f>
        <v/>
      </c>
      <c r="N1504" s="14">
        <f>IF($A1504="","",$M1504-$L1504)</f>
        <v/>
      </c>
      <c r="O1504" s="4" t="n"/>
      <c r="P1504" s="15">
        <f>IF($A1504="","",DATE(YEAR($A1504),MONTH($A1504),1))</f>
        <v/>
      </c>
      <c r="Q1504" s="16">
        <f>IF($H1504="","",$J1504*IFERROR(INDEX('Settings'!$L$10:$L$39,MATCH($H1504,'Settings'!$I$10:$I$39,0)),0))</f>
        <v/>
      </c>
      <c r="R1504" s="17">
        <f>IF($A1504="","",$A1504-WEEKDAY($A1504,2)+1)</f>
        <v/>
      </c>
    </row>
    <row r="1505">
      <c r="A1505" s="5" t="n"/>
      <c r="B1505" s="4" t="n"/>
      <c r="C1505" s="4" t="n"/>
      <c r="D1505" s="4" t="n"/>
      <c r="E1505" s="4" t="n"/>
      <c r="F1505" s="4" t="n"/>
      <c r="G1505" s="4" t="n"/>
      <c r="H1505" s="4" t="n"/>
      <c r="I1505" s="9">
        <f>IF($H1505="","",IFERROR(INDEX('Settings'!$J$10:$J$39,MATCH($H1505,'Settings'!$I$10:$I$39,0)),""))</f>
        <v/>
      </c>
      <c r="J1505" s="6" t="n"/>
      <c r="K1505" s="8" t="n"/>
      <c r="L1505" s="8" t="n"/>
      <c r="M1505" s="14">
        <f>IF($A1505="","",$J1505*$K1505)</f>
        <v/>
      </c>
      <c r="N1505" s="14">
        <f>IF($A1505="","",$M1505-$L1505)</f>
        <v/>
      </c>
      <c r="O1505" s="4" t="n"/>
      <c r="P1505" s="15">
        <f>IF($A1505="","",DATE(YEAR($A1505),MONTH($A1505),1))</f>
        <v/>
      </c>
      <c r="Q1505" s="16">
        <f>IF($H1505="","",$J1505*IFERROR(INDEX('Settings'!$L$10:$L$39,MATCH($H1505,'Settings'!$I$10:$I$39,0)),0))</f>
        <v/>
      </c>
      <c r="R1505" s="17">
        <f>IF($A1505="","",$A1505-WEEKDAY($A1505,2)+1)</f>
        <v/>
      </c>
    </row>
    <row r="1506">
      <c r="A1506" s="5" t="n"/>
      <c r="B1506" s="4" t="n"/>
      <c r="C1506" s="4" t="n"/>
      <c r="D1506" s="4" t="n"/>
      <c r="E1506" s="4" t="n"/>
      <c r="F1506" s="4" t="n"/>
      <c r="G1506" s="4" t="n"/>
      <c r="H1506" s="4" t="n"/>
      <c r="I1506" s="9">
        <f>IF($H1506="","",IFERROR(INDEX('Settings'!$J$10:$J$39,MATCH($H1506,'Settings'!$I$10:$I$39,0)),""))</f>
        <v/>
      </c>
      <c r="J1506" s="6" t="n"/>
      <c r="K1506" s="8" t="n"/>
      <c r="L1506" s="8" t="n"/>
      <c r="M1506" s="14">
        <f>IF($A1506="","",$J1506*$K1506)</f>
        <v/>
      </c>
      <c r="N1506" s="14">
        <f>IF($A1506="","",$M1506-$L1506)</f>
        <v/>
      </c>
      <c r="O1506" s="4" t="n"/>
      <c r="P1506" s="15">
        <f>IF($A1506="","",DATE(YEAR($A1506),MONTH($A1506),1))</f>
        <v/>
      </c>
      <c r="Q1506" s="16">
        <f>IF($H1506="","",$J1506*IFERROR(INDEX('Settings'!$L$10:$L$39,MATCH($H1506,'Settings'!$I$10:$I$39,0)),0))</f>
        <v/>
      </c>
      <c r="R1506" s="17">
        <f>IF($A1506="","",$A1506-WEEKDAY($A1506,2)+1)</f>
        <v/>
      </c>
    </row>
    <row r="1507">
      <c r="A1507" s="5" t="n"/>
      <c r="B1507" s="4" t="n"/>
      <c r="C1507" s="4" t="n"/>
      <c r="D1507" s="4" t="n"/>
      <c r="E1507" s="4" t="n"/>
      <c r="F1507" s="4" t="n"/>
      <c r="G1507" s="4" t="n"/>
      <c r="H1507" s="4" t="n"/>
      <c r="I1507" s="9">
        <f>IF($H1507="","",IFERROR(INDEX('Settings'!$J$10:$J$39,MATCH($H1507,'Settings'!$I$10:$I$39,0)),""))</f>
        <v/>
      </c>
      <c r="J1507" s="6" t="n"/>
      <c r="K1507" s="8" t="n"/>
      <c r="L1507" s="8" t="n"/>
      <c r="M1507" s="14">
        <f>IF($A1507="","",$J1507*$K1507)</f>
        <v/>
      </c>
      <c r="N1507" s="14">
        <f>IF($A1507="","",$M1507-$L1507)</f>
        <v/>
      </c>
      <c r="O1507" s="4" t="n"/>
      <c r="P1507" s="15">
        <f>IF($A1507="","",DATE(YEAR($A1507),MONTH($A1507),1))</f>
        <v/>
      </c>
      <c r="Q1507" s="16">
        <f>IF($H1507="","",$J1507*IFERROR(INDEX('Settings'!$L$10:$L$39,MATCH($H1507,'Settings'!$I$10:$I$39,0)),0))</f>
        <v/>
      </c>
      <c r="R1507" s="17">
        <f>IF($A1507="","",$A1507-WEEKDAY($A1507,2)+1)</f>
        <v/>
      </c>
    </row>
    <row r="1508">
      <c r="A1508" s="5" t="n"/>
      <c r="B1508" s="4" t="n"/>
      <c r="C1508" s="4" t="n"/>
      <c r="D1508" s="4" t="n"/>
      <c r="E1508" s="4" t="n"/>
      <c r="F1508" s="4" t="n"/>
      <c r="G1508" s="4" t="n"/>
      <c r="H1508" s="4" t="n"/>
      <c r="I1508" s="9">
        <f>IF($H1508="","",IFERROR(INDEX('Settings'!$J$10:$J$39,MATCH($H1508,'Settings'!$I$10:$I$39,0)),""))</f>
        <v/>
      </c>
      <c r="J1508" s="6" t="n"/>
      <c r="K1508" s="8" t="n"/>
      <c r="L1508" s="8" t="n"/>
      <c r="M1508" s="14">
        <f>IF($A1508="","",$J1508*$K1508)</f>
        <v/>
      </c>
      <c r="N1508" s="14">
        <f>IF($A1508="","",$M1508-$L1508)</f>
        <v/>
      </c>
      <c r="O1508" s="4" t="n"/>
      <c r="P1508" s="15">
        <f>IF($A1508="","",DATE(YEAR($A1508),MONTH($A1508),1))</f>
        <v/>
      </c>
      <c r="Q1508" s="16">
        <f>IF($H1508="","",$J1508*IFERROR(INDEX('Settings'!$L$10:$L$39,MATCH($H1508,'Settings'!$I$10:$I$39,0)),0))</f>
        <v/>
      </c>
      <c r="R1508" s="17">
        <f>IF($A1508="","",$A1508-WEEKDAY($A1508,2)+1)</f>
        <v/>
      </c>
    </row>
    <row r="1509">
      <c r="A1509" s="5" t="n"/>
      <c r="B1509" s="4" t="n"/>
      <c r="C1509" s="4" t="n"/>
      <c r="D1509" s="4" t="n"/>
      <c r="E1509" s="4" t="n"/>
      <c r="F1509" s="4" t="n"/>
      <c r="G1509" s="4" t="n"/>
      <c r="H1509" s="4" t="n"/>
      <c r="I1509" s="9">
        <f>IF($H1509="","",IFERROR(INDEX('Settings'!$J$10:$J$39,MATCH($H1509,'Settings'!$I$10:$I$39,0)),""))</f>
        <v/>
      </c>
      <c r="J1509" s="6" t="n"/>
      <c r="K1509" s="8" t="n"/>
      <c r="L1509" s="8" t="n"/>
      <c r="M1509" s="14">
        <f>IF($A1509="","",$J1509*$K1509)</f>
        <v/>
      </c>
      <c r="N1509" s="14">
        <f>IF($A1509="","",$M1509-$L1509)</f>
        <v/>
      </c>
      <c r="O1509" s="4" t="n"/>
      <c r="P1509" s="15">
        <f>IF($A1509="","",DATE(YEAR($A1509),MONTH($A1509),1))</f>
        <v/>
      </c>
      <c r="Q1509" s="16">
        <f>IF($H1509="","",$J1509*IFERROR(INDEX('Settings'!$L$10:$L$39,MATCH($H1509,'Settings'!$I$10:$I$39,0)),0))</f>
        <v/>
      </c>
      <c r="R1509" s="17">
        <f>IF($A1509="","",$A1509-WEEKDAY($A1509,2)+1)</f>
        <v/>
      </c>
    </row>
    <row r="1510">
      <c r="A1510" s="5" t="n"/>
      <c r="B1510" s="4" t="n"/>
      <c r="C1510" s="4" t="n"/>
      <c r="D1510" s="4" t="n"/>
      <c r="E1510" s="4" t="n"/>
      <c r="F1510" s="4" t="n"/>
      <c r="G1510" s="4" t="n"/>
      <c r="H1510" s="4" t="n"/>
      <c r="I1510" s="9">
        <f>IF($H1510="","",IFERROR(INDEX('Settings'!$J$10:$J$39,MATCH($H1510,'Settings'!$I$10:$I$39,0)),""))</f>
        <v/>
      </c>
      <c r="J1510" s="6" t="n"/>
      <c r="K1510" s="8" t="n"/>
      <c r="L1510" s="8" t="n"/>
      <c r="M1510" s="14">
        <f>IF($A1510="","",$J1510*$K1510)</f>
        <v/>
      </c>
      <c r="N1510" s="14">
        <f>IF($A1510="","",$M1510-$L1510)</f>
        <v/>
      </c>
      <c r="O1510" s="4" t="n"/>
      <c r="P1510" s="15">
        <f>IF($A1510="","",DATE(YEAR($A1510),MONTH($A1510),1))</f>
        <v/>
      </c>
      <c r="Q1510" s="16">
        <f>IF($H1510="","",$J1510*IFERROR(INDEX('Settings'!$L$10:$L$39,MATCH($H1510,'Settings'!$I$10:$I$39,0)),0))</f>
        <v/>
      </c>
      <c r="R1510" s="17">
        <f>IF($A1510="","",$A1510-WEEKDAY($A1510,2)+1)</f>
        <v/>
      </c>
    </row>
    <row r="1511">
      <c r="A1511" s="5" t="n"/>
      <c r="B1511" s="4" t="n"/>
      <c r="C1511" s="4" t="n"/>
      <c r="D1511" s="4" t="n"/>
      <c r="E1511" s="4" t="n"/>
      <c r="F1511" s="4" t="n"/>
      <c r="G1511" s="4" t="n"/>
      <c r="H1511" s="4" t="n"/>
      <c r="I1511" s="9">
        <f>IF($H1511="","",IFERROR(INDEX('Settings'!$J$10:$J$39,MATCH($H1511,'Settings'!$I$10:$I$39,0)),""))</f>
        <v/>
      </c>
      <c r="J1511" s="6" t="n"/>
      <c r="K1511" s="8" t="n"/>
      <c r="L1511" s="8" t="n"/>
      <c r="M1511" s="14">
        <f>IF($A1511="","",$J1511*$K1511)</f>
        <v/>
      </c>
      <c r="N1511" s="14">
        <f>IF($A1511="","",$M1511-$L1511)</f>
        <v/>
      </c>
      <c r="O1511" s="4" t="n"/>
      <c r="P1511" s="15">
        <f>IF($A1511="","",DATE(YEAR($A1511),MONTH($A1511),1))</f>
        <v/>
      </c>
      <c r="Q1511" s="16">
        <f>IF($H1511="","",$J1511*IFERROR(INDEX('Settings'!$L$10:$L$39,MATCH($H1511,'Settings'!$I$10:$I$39,0)),0))</f>
        <v/>
      </c>
      <c r="R1511" s="17">
        <f>IF($A1511="","",$A1511-WEEKDAY($A1511,2)+1)</f>
        <v/>
      </c>
    </row>
    <row r="1512">
      <c r="A1512" s="5" t="n"/>
      <c r="B1512" s="4" t="n"/>
      <c r="C1512" s="4" t="n"/>
      <c r="D1512" s="4" t="n"/>
      <c r="E1512" s="4" t="n"/>
      <c r="F1512" s="4" t="n"/>
      <c r="G1512" s="4" t="n"/>
      <c r="H1512" s="4" t="n"/>
      <c r="I1512" s="9">
        <f>IF($H1512="","",IFERROR(INDEX('Settings'!$J$10:$J$39,MATCH($H1512,'Settings'!$I$10:$I$39,0)),""))</f>
        <v/>
      </c>
      <c r="J1512" s="6" t="n"/>
      <c r="K1512" s="8" t="n"/>
      <c r="L1512" s="8" t="n"/>
      <c r="M1512" s="14">
        <f>IF($A1512="","",$J1512*$K1512)</f>
        <v/>
      </c>
      <c r="N1512" s="14">
        <f>IF($A1512="","",$M1512-$L1512)</f>
        <v/>
      </c>
      <c r="O1512" s="4" t="n"/>
      <c r="P1512" s="15">
        <f>IF($A1512="","",DATE(YEAR($A1512),MONTH($A1512),1))</f>
        <v/>
      </c>
      <c r="Q1512" s="16">
        <f>IF($H1512="","",$J1512*IFERROR(INDEX('Settings'!$L$10:$L$39,MATCH($H1512,'Settings'!$I$10:$I$39,0)),0))</f>
        <v/>
      </c>
      <c r="R1512" s="17">
        <f>IF($A1512="","",$A1512-WEEKDAY($A1512,2)+1)</f>
        <v/>
      </c>
    </row>
    <row r="1513">
      <c r="A1513" s="5" t="n"/>
      <c r="B1513" s="4" t="n"/>
      <c r="C1513" s="4" t="n"/>
      <c r="D1513" s="4" t="n"/>
      <c r="E1513" s="4" t="n"/>
      <c r="F1513" s="4" t="n"/>
      <c r="G1513" s="4" t="n"/>
      <c r="H1513" s="4" t="n"/>
      <c r="I1513" s="9">
        <f>IF($H1513="","",IFERROR(INDEX('Settings'!$J$10:$J$39,MATCH($H1513,'Settings'!$I$10:$I$39,0)),""))</f>
        <v/>
      </c>
      <c r="J1513" s="6" t="n"/>
      <c r="K1513" s="8" t="n"/>
      <c r="L1513" s="8" t="n"/>
      <c r="M1513" s="14">
        <f>IF($A1513="","",$J1513*$K1513)</f>
        <v/>
      </c>
      <c r="N1513" s="14">
        <f>IF($A1513="","",$M1513-$L1513)</f>
        <v/>
      </c>
      <c r="O1513" s="4" t="n"/>
      <c r="P1513" s="15">
        <f>IF($A1513="","",DATE(YEAR($A1513),MONTH($A1513),1))</f>
        <v/>
      </c>
      <c r="Q1513" s="16">
        <f>IF($H1513="","",$J1513*IFERROR(INDEX('Settings'!$L$10:$L$39,MATCH($H1513,'Settings'!$I$10:$I$39,0)),0))</f>
        <v/>
      </c>
      <c r="R1513" s="17">
        <f>IF($A1513="","",$A1513-WEEKDAY($A1513,2)+1)</f>
        <v/>
      </c>
    </row>
    <row r="1514">
      <c r="A1514" s="5" t="n"/>
      <c r="B1514" s="4" t="n"/>
      <c r="C1514" s="4" t="n"/>
      <c r="D1514" s="4" t="n"/>
      <c r="E1514" s="4" t="n"/>
      <c r="F1514" s="4" t="n"/>
      <c r="G1514" s="4" t="n"/>
      <c r="H1514" s="4" t="n"/>
      <c r="I1514" s="9">
        <f>IF($H1514="","",IFERROR(INDEX('Settings'!$J$10:$J$39,MATCH($H1514,'Settings'!$I$10:$I$39,0)),""))</f>
        <v/>
      </c>
      <c r="J1514" s="6" t="n"/>
      <c r="K1514" s="8" t="n"/>
      <c r="L1514" s="8" t="n"/>
      <c r="M1514" s="14">
        <f>IF($A1514="","",$J1514*$K1514)</f>
        <v/>
      </c>
      <c r="N1514" s="14">
        <f>IF($A1514="","",$M1514-$L1514)</f>
        <v/>
      </c>
      <c r="O1514" s="4" t="n"/>
      <c r="P1514" s="15">
        <f>IF($A1514="","",DATE(YEAR($A1514),MONTH($A1514),1))</f>
        <v/>
      </c>
      <c r="Q1514" s="16">
        <f>IF($H1514="","",$J1514*IFERROR(INDEX('Settings'!$L$10:$L$39,MATCH($H1514,'Settings'!$I$10:$I$39,0)),0))</f>
        <v/>
      </c>
      <c r="R1514" s="17">
        <f>IF($A1514="","",$A1514-WEEKDAY($A1514,2)+1)</f>
        <v/>
      </c>
    </row>
    <row r="1515">
      <c r="A1515" s="5" t="n"/>
      <c r="B1515" s="4" t="n"/>
      <c r="C1515" s="4" t="n"/>
      <c r="D1515" s="4" t="n"/>
      <c r="E1515" s="4" t="n"/>
      <c r="F1515" s="4" t="n"/>
      <c r="G1515" s="4" t="n"/>
      <c r="H1515" s="4" t="n"/>
      <c r="I1515" s="9">
        <f>IF($H1515="","",IFERROR(INDEX('Settings'!$J$10:$J$39,MATCH($H1515,'Settings'!$I$10:$I$39,0)),""))</f>
        <v/>
      </c>
      <c r="J1515" s="6" t="n"/>
      <c r="K1515" s="8" t="n"/>
      <c r="L1515" s="8" t="n"/>
      <c r="M1515" s="14">
        <f>IF($A1515="","",$J1515*$K1515)</f>
        <v/>
      </c>
      <c r="N1515" s="14">
        <f>IF($A1515="","",$M1515-$L1515)</f>
        <v/>
      </c>
      <c r="O1515" s="4" t="n"/>
      <c r="P1515" s="15">
        <f>IF($A1515="","",DATE(YEAR($A1515),MONTH($A1515),1))</f>
        <v/>
      </c>
      <c r="Q1515" s="16">
        <f>IF($H1515="","",$J1515*IFERROR(INDEX('Settings'!$L$10:$L$39,MATCH($H1515,'Settings'!$I$10:$I$39,0)),0))</f>
        <v/>
      </c>
      <c r="R1515" s="17">
        <f>IF($A1515="","",$A1515-WEEKDAY($A1515,2)+1)</f>
        <v/>
      </c>
    </row>
    <row r="1516">
      <c r="A1516" s="5" t="n"/>
      <c r="B1516" s="4" t="n"/>
      <c r="C1516" s="4" t="n"/>
      <c r="D1516" s="4" t="n"/>
      <c r="E1516" s="4" t="n"/>
      <c r="F1516" s="4" t="n"/>
      <c r="G1516" s="4" t="n"/>
      <c r="H1516" s="4" t="n"/>
      <c r="I1516" s="9">
        <f>IF($H1516="","",IFERROR(INDEX('Settings'!$J$10:$J$39,MATCH($H1516,'Settings'!$I$10:$I$39,0)),""))</f>
        <v/>
      </c>
      <c r="J1516" s="6" t="n"/>
      <c r="K1516" s="8" t="n"/>
      <c r="L1516" s="8" t="n"/>
      <c r="M1516" s="14">
        <f>IF($A1516="","",$J1516*$K1516)</f>
        <v/>
      </c>
      <c r="N1516" s="14">
        <f>IF($A1516="","",$M1516-$L1516)</f>
        <v/>
      </c>
      <c r="O1516" s="4" t="n"/>
      <c r="P1516" s="15">
        <f>IF($A1516="","",DATE(YEAR($A1516),MONTH($A1516),1))</f>
        <v/>
      </c>
      <c r="Q1516" s="16">
        <f>IF($H1516="","",$J1516*IFERROR(INDEX('Settings'!$L$10:$L$39,MATCH($H1516,'Settings'!$I$10:$I$39,0)),0))</f>
        <v/>
      </c>
      <c r="R1516" s="17">
        <f>IF($A1516="","",$A1516-WEEKDAY($A1516,2)+1)</f>
        <v/>
      </c>
    </row>
    <row r="1517">
      <c r="A1517" s="5" t="n"/>
      <c r="B1517" s="4" t="n"/>
      <c r="C1517" s="4" t="n"/>
      <c r="D1517" s="4" t="n"/>
      <c r="E1517" s="4" t="n"/>
      <c r="F1517" s="4" t="n"/>
      <c r="G1517" s="4" t="n"/>
      <c r="H1517" s="4" t="n"/>
      <c r="I1517" s="9">
        <f>IF($H1517="","",IFERROR(INDEX('Settings'!$J$10:$J$39,MATCH($H1517,'Settings'!$I$10:$I$39,0)),""))</f>
        <v/>
      </c>
      <c r="J1517" s="6" t="n"/>
      <c r="K1517" s="8" t="n"/>
      <c r="L1517" s="8" t="n"/>
      <c r="M1517" s="14">
        <f>IF($A1517="","",$J1517*$K1517)</f>
        <v/>
      </c>
      <c r="N1517" s="14">
        <f>IF($A1517="","",$M1517-$L1517)</f>
        <v/>
      </c>
      <c r="O1517" s="4" t="n"/>
      <c r="P1517" s="15">
        <f>IF($A1517="","",DATE(YEAR($A1517),MONTH($A1517),1))</f>
        <v/>
      </c>
      <c r="Q1517" s="16">
        <f>IF($H1517="","",$J1517*IFERROR(INDEX('Settings'!$L$10:$L$39,MATCH($H1517,'Settings'!$I$10:$I$39,0)),0))</f>
        <v/>
      </c>
      <c r="R1517" s="17">
        <f>IF($A1517="","",$A1517-WEEKDAY($A1517,2)+1)</f>
        <v/>
      </c>
    </row>
    <row r="1518">
      <c r="A1518" s="5" t="n"/>
      <c r="B1518" s="4" t="n"/>
      <c r="C1518" s="4" t="n"/>
      <c r="D1518" s="4" t="n"/>
      <c r="E1518" s="4" t="n"/>
      <c r="F1518" s="4" t="n"/>
      <c r="G1518" s="4" t="n"/>
      <c r="H1518" s="4" t="n"/>
      <c r="I1518" s="9">
        <f>IF($H1518="","",IFERROR(INDEX('Settings'!$J$10:$J$39,MATCH($H1518,'Settings'!$I$10:$I$39,0)),""))</f>
        <v/>
      </c>
      <c r="J1518" s="6" t="n"/>
      <c r="K1518" s="8" t="n"/>
      <c r="L1518" s="8" t="n"/>
      <c r="M1518" s="14">
        <f>IF($A1518="","",$J1518*$K1518)</f>
        <v/>
      </c>
      <c r="N1518" s="14">
        <f>IF($A1518="","",$M1518-$L1518)</f>
        <v/>
      </c>
      <c r="O1518" s="4" t="n"/>
      <c r="P1518" s="15">
        <f>IF($A1518="","",DATE(YEAR($A1518),MONTH($A1518),1))</f>
        <v/>
      </c>
      <c r="Q1518" s="16">
        <f>IF($H1518="","",$J1518*IFERROR(INDEX('Settings'!$L$10:$L$39,MATCH($H1518,'Settings'!$I$10:$I$39,0)),0))</f>
        <v/>
      </c>
      <c r="R1518" s="17">
        <f>IF($A1518="","",$A1518-WEEKDAY($A1518,2)+1)</f>
        <v/>
      </c>
    </row>
    <row r="1519">
      <c r="A1519" s="5" t="n"/>
      <c r="B1519" s="4" t="n"/>
      <c r="C1519" s="4" t="n"/>
      <c r="D1519" s="4" t="n"/>
      <c r="E1519" s="4" t="n"/>
      <c r="F1519" s="4" t="n"/>
      <c r="G1519" s="4" t="n"/>
      <c r="H1519" s="4" t="n"/>
      <c r="I1519" s="9">
        <f>IF($H1519="","",IFERROR(INDEX('Settings'!$J$10:$J$39,MATCH($H1519,'Settings'!$I$10:$I$39,0)),""))</f>
        <v/>
      </c>
      <c r="J1519" s="6" t="n"/>
      <c r="K1519" s="8" t="n"/>
      <c r="L1519" s="8" t="n"/>
      <c r="M1519" s="14">
        <f>IF($A1519="","",$J1519*$K1519)</f>
        <v/>
      </c>
      <c r="N1519" s="14">
        <f>IF($A1519="","",$M1519-$L1519)</f>
        <v/>
      </c>
      <c r="O1519" s="4" t="n"/>
      <c r="P1519" s="15">
        <f>IF($A1519="","",DATE(YEAR($A1519),MONTH($A1519),1))</f>
        <v/>
      </c>
      <c r="Q1519" s="16">
        <f>IF($H1519="","",$J1519*IFERROR(INDEX('Settings'!$L$10:$L$39,MATCH($H1519,'Settings'!$I$10:$I$39,0)),0))</f>
        <v/>
      </c>
      <c r="R1519" s="17">
        <f>IF($A1519="","",$A1519-WEEKDAY($A1519,2)+1)</f>
        <v/>
      </c>
    </row>
    <row r="1520">
      <c r="A1520" s="5" t="n"/>
      <c r="B1520" s="4" t="n"/>
      <c r="C1520" s="4" t="n"/>
      <c r="D1520" s="4" t="n"/>
      <c r="E1520" s="4" t="n"/>
      <c r="F1520" s="4" t="n"/>
      <c r="G1520" s="4" t="n"/>
      <c r="H1520" s="4" t="n"/>
      <c r="I1520" s="9">
        <f>IF($H1520="","",IFERROR(INDEX('Settings'!$J$10:$J$39,MATCH($H1520,'Settings'!$I$10:$I$39,0)),""))</f>
        <v/>
      </c>
      <c r="J1520" s="6" t="n"/>
      <c r="K1520" s="8" t="n"/>
      <c r="L1520" s="8" t="n"/>
      <c r="M1520" s="14">
        <f>IF($A1520="","",$J1520*$K1520)</f>
        <v/>
      </c>
      <c r="N1520" s="14">
        <f>IF($A1520="","",$M1520-$L1520)</f>
        <v/>
      </c>
      <c r="O1520" s="4" t="n"/>
      <c r="P1520" s="15">
        <f>IF($A1520="","",DATE(YEAR($A1520),MONTH($A1520),1))</f>
        <v/>
      </c>
      <c r="Q1520" s="16">
        <f>IF($H1520="","",$J1520*IFERROR(INDEX('Settings'!$L$10:$L$39,MATCH($H1520,'Settings'!$I$10:$I$39,0)),0))</f>
        <v/>
      </c>
      <c r="R1520" s="17">
        <f>IF($A1520="","",$A1520-WEEKDAY($A1520,2)+1)</f>
        <v/>
      </c>
    </row>
    <row r="1521">
      <c r="A1521" s="5" t="n"/>
      <c r="B1521" s="4" t="n"/>
      <c r="C1521" s="4" t="n"/>
      <c r="D1521" s="4" t="n"/>
      <c r="E1521" s="4" t="n"/>
      <c r="F1521" s="4" t="n"/>
      <c r="G1521" s="4" t="n"/>
      <c r="H1521" s="4" t="n"/>
      <c r="I1521" s="9">
        <f>IF($H1521="","",IFERROR(INDEX('Settings'!$J$10:$J$39,MATCH($H1521,'Settings'!$I$10:$I$39,0)),""))</f>
        <v/>
      </c>
      <c r="J1521" s="6" t="n"/>
      <c r="K1521" s="8" t="n"/>
      <c r="L1521" s="8" t="n"/>
      <c r="M1521" s="14">
        <f>IF($A1521="","",$J1521*$K1521)</f>
        <v/>
      </c>
      <c r="N1521" s="14">
        <f>IF($A1521="","",$M1521-$L1521)</f>
        <v/>
      </c>
      <c r="O1521" s="4" t="n"/>
      <c r="P1521" s="15">
        <f>IF($A1521="","",DATE(YEAR($A1521),MONTH($A1521),1))</f>
        <v/>
      </c>
      <c r="Q1521" s="16">
        <f>IF($H1521="","",$J1521*IFERROR(INDEX('Settings'!$L$10:$L$39,MATCH($H1521,'Settings'!$I$10:$I$39,0)),0))</f>
        <v/>
      </c>
      <c r="R1521" s="17">
        <f>IF($A1521="","",$A1521-WEEKDAY($A1521,2)+1)</f>
        <v/>
      </c>
    </row>
    <row r="1522">
      <c r="A1522" s="5" t="n"/>
      <c r="B1522" s="4" t="n"/>
      <c r="C1522" s="4" t="n"/>
      <c r="D1522" s="4" t="n"/>
      <c r="E1522" s="4" t="n"/>
      <c r="F1522" s="4" t="n"/>
      <c r="G1522" s="4" t="n"/>
      <c r="H1522" s="4" t="n"/>
      <c r="I1522" s="9">
        <f>IF($H1522="","",IFERROR(INDEX('Settings'!$J$10:$J$39,MATCH($H1522,'Settings'!$I$10:$I$39,0)),""))</f>
        <v/>
      </c>
      <c r="J1522" s="6" t="n"/>
      <c r="K1522" s="8" t="n"/>
      <c r="L1522" s="8" t="n"/>
      <c r="M1522" s="14">
        <f>IF($A1522="","",$J1522*$K1522)</f>
        <v/>
      </c>
      <c r="N1522" s="14">
        <f>IF($A1522="","",$M1522-$L1522)</f>
        <v/>
      </c>
      <c r="O1522" s="4" t="n"/>
      <c r="P1522" s="15">
        <f>IF($A1522="","",DATE(YEAR($A1522),MONTH($A1522),1))</f>
        <v/>
      </c>
      <c r="Q1522" s="16">
        <f>IF($H1522="","",$J1522*IFERROR(INDEX('Settings'!$L$10:$L$39,MATCH($H1522,'Settings'!$I$10:$I$39,0)),0))</f>
        <v/>
      </c>
      <c r="R1522" s="17">
        <f>IF($A1522="","",$A1522-WEEKDAY($A1522,2)+1)</f>
        <v/>
      </c>
    </row>
    <row r="1523">
      <c r="A1523" s="5" t="n"/>
      <c r="B1523" s="4" t="n"/>
      <c r="C1523" s="4" t="n"/>
      <c r="D1523" s="4" t="n"/>
      <c r="E1523" s="4" t="n"/>
      <c r="F1523" s="4" t="n"/>
      <c r="G1523" s="4" t="n"/>
      <c r="H1523" s="4" t="n"/>
      <c r="I1523" s="9">
        <f>IF($H1523="","",IFERROR(INDEX('Settings'!$J$10:$J$39,MATCH($H1523,'Settings'!$I$10:$I$39,0)),""))</f>
        <v/>
      </c>
      <c r="J1523" s="6" t="n"/>
      <c r="K1523" s="8" t="n"/>
      <c r="L1523" s="8" t="n"/>
      <c r="M1523" s="14">
        <f>IF($A1523="","",$J1523*$K1523)</f>
        <v/>
      </c>
      <c r="N1523" s="14">
        <f>IF($A1523="","",$M1523-$L1523)</f>
        <v/>
      </c>
      <c r="O1523" s="4" t="n"/>
      <c r="P1523" s="15">
        <f>IF($A1523="","",DATE(YEAR($A1523),MONTH($A1523),1))</f>
        <v/>
      </c>
      <c r="Q1523" s="16">
        <f>IF($H1523="","",$J1523*IFERROR(INDEX('Settings'!$L$10:$L$39,MATCH($H1523,'Settings'!$I$10:$I$39,0)),0))</f>
        <v/>
      </c>
      <c r="R1523" s="17">
        <f>IF($A1523="","",$A1523-WEEKDAY($A1523,2)+1)</f>
        <v/>
      </c>
    </row>
    <row r="1524">
      <c r="A1524" s="5" t="n"/>
      <c r="B1524" s="4" t="n"/>
      <c r="C1524" s="4" t="n"/>
      <c r="D1524" s="4" t="n"/>
      <c r="E1524" s="4" t="n"/>
      <c r="F1524" s="4" t="n"/>
      <c r="G1524" s="4" t="n"/>
      <c r="H1524" s="4" t="n"/>
      <c r="I1524" s="9">
        <f>IF($H1524="","",IFERROR(INDEX('Settings'!$J$10:$J$39,MATCH($H1524,'Settings'!$I$10:$I$39,0)),""))</f>
        <v/>
      </c>
      <c r="J1524" s="6" t="n"/>
      <c r="K1524" s="8" t="n"/>
      <c r="L1524" s="8" t="n"/>
      <c r="M1524" s="14">
        <f>IF($A1524="","",$J1524*$K1524)</f>
        <v/>
      </c>
      <c r="N1524" s="14">
        <f>IF($A1524="","",$M1524-$L1524)</f>
        <v/>
      </c>
      <c r="O1524" s="4" t="n"/>
      <c r="P1524" s="15">
        <f>IF($A1524="","",DATE(YEAR($A1524),MONTH($A1524),1))</f>
        <v/>
      </c>
      <c r="Q1524" s="16">
        <f>IF($H1524="","",$J1524*IFERROR(INDEX('Settings'!$L$10:$L$39,MATCH($H1524,'Settings'!$I$10:$I$39,0)),0))</f>
        <v/>
      </c>
      <c r="R1524" s="17">
        <f>IF($A1524="","",$A1524-WEEKDAY($A1524,2)+1)</f>
        <v/>
      </c>
    </row>
    <row r="1525">
      <c r="A1525" s="5" t="n"/>
      <c r="B1525" s="4" t="n"/>
      <c r="C1525" s="4" t="n"/>
      <c r="D1525" s="4" t="n"/>
      <c r="E1525" s="4" t="n"/>
      <c r="F1525" s="4" t="n"/>
      <c r="G1525" s="4" t="n"/>
      <c r="H1525" s="4" t="n"/>
      <c r="I1525" s="9">
        <f>IF($H1525="","",IFERROR(INDEX('Settings'!$J$10:$J$39,MATCH($H1525,'Settings'!$I$10:$I$39,0)),""))</f>
        <v/>
      </c>
      <c r="J1525" s="6" t="n"/>
      <c r="K1525" s="8" t="n"/>
      <c r="L1525" s="8" t="n"/>
      <c r="M1525" s="14">
        <f>IF($A1525="","",$J1525*$K1525)</f>
        <v/>
      </c>
      <c r="N1525" s="14">
        <f>IF($A1525="","",$M1525-$L1525)</f>
        <v/>
      </c>
      <c r="O1525" s="4" t="n"/>
      <c r="P1525" s="15">
        <f>IF($A1525="","",DATE(YEAR($A1525),MONTH($A1525),1))</f>
        <v/>
      </c>
      <c r="Q1525" s="16">
        <f>IF($H1525="","",$J1525*IFERROR(INDEX('Settings'!$L$10:$L$39,MATCH($H1525,'Settings'!$I$10:$I$39,0)),0))</f>
        <v/>
      </c>
      <c r="R1525" s="17">
        <f>IF($A1525="","",$A1525-WEEKDAY($A1525,2)+1)</f>
        <v/>
      </c>
    </row>
    <row r="1526">
      <c r="A1526" s="5" t="n"/>
      <c r="B1526" s="4" t="n"/>
      <c r="C1526" s="4" t="n"/>
      <c r="D1526" s="4" t="n"/>
      <c r="E1526" s="4" t="n"/>
      <c r="F1526" s="4" t="n"/>
      <c r="G1526" s="4" t="n"/>
      <c r="H1526" s="4" t="n"/>
      <c r="I1526" s="9">
        <f>IF($H1526="","",IFERROR(INDEX('Settings'!$J$10:$J$39,MATCH($H1526,'Settings'!$I$10:$I$39,0)),""))</f>
        <v/>
      </c>
      <c r="J1526" s="6" t="n"/>
      <c r="K1526" s="8" t="n"/>
      <c r="L1526" s="8" t="n"/>
      <c r="M1526" s="14">
        <f>IF($A1526="","",$J1526*$K1526)</f>
        <v/>
      </c>
      <c r="N1526" s="14">
        <f>IF($A1526="","",$M1526-$L1526)</f>
        <v/>
      </c>
      <c r="O1526" s="4" t="n"/>
      <c r="P1526" s="15">
        <f>IF($A1526="","",DATE(YEAR($A1526),MONTH($A1526),1))</f>
        <v/>
      </c>
      <c r="Q1526" s="16">
        <f>IF($H1526="","",$J1526*IFERROR(INDEX('Settings'!$L$10:$L$39,MATCH($H1526,'Settings'!$I$10:$I$39,0)),0))</f>
        <v/>
      </c>
      <c r="R1526" s="17">
        <f>IF($A1526="","",$A1526-WEEKDAY($A1526,2)+1)</f>
        <v/>
      </c>
    </row>
    <row r="1527">
      <c r="A1527" s="5" t="n"/>
      <c r="B1527" s="4" t="n"/>
      <c r="C1527" s="4" t="n"/>
      <c r="D1527" s="4" t="n"/>
      <c r="E1527" s="4" t="n"/>
      <c r="F1527" s="4" t="n"/>
      <c r="G1527" s="4" t="n"/>
      <c r="H1527" s="4" t="n"/>
      <c r="I1527" s="9">
        <f>IF($H1527="","",IFERROR(INDEX('Settings'!$J$10:$J$39,MATCH($H1527,'Settings'!$I$10:$I$39,0)),""))</f>
        <v/>
      </c>
      <c r="J1527" s="6" t="n"/>
      <c r="K1527" s="8" t="n"/>
      <c r="L1527" s="8" t="n"/>
      <c r="M1527" s="14">
        <f>IF($A1527="","",$J1527*$K1527)</f>
        <v/>
      </c>
      <c r="N1527" s="14">
        <f>IF($A1527="","",$M1527-$L1527)</f>
        <v/>
      </c>
      <c r="O1527" s="4" t="n"/>
      <c r="P1527" s="15">
        <f>IF($A1527="","",DATE(YEAR($A1527),MONTH($A1527),1))</f>
        <v/>
      </c>
      <c r="Q1527" s="16">
        <f>IF($H1527="","",$J1527*IFERROR(INDEX('Settings'!$L$10:$L$39,MATCH($H1527,'Settings'!$I$10:$I$39,0)),0))</f>
        <v/>
      </c>
      <c r="R1527" s="17">
        <f>IF($A1527="","",$A1527-WEEKDAY($A1527,2)+1)</f>
        <v/>
      </c>
    </row>
    <row r="1528">
      <c r="A1528" s="5" t="n"/>
      <c r="B1528" s="4" t="n"/>
      <c r="C1528" s="4" t="n"/>
      <c r="D1528" s="4" t="n"/>
      <c r="E1528" s="4" t="n"/>
      <c r="F1528" s="4" t="n"/>
      <c r="G1528" s="4" t="n"/>
      <c r="H1528" s="4" t="n"/>
      <c r="I1528" s="9">
        <f>IF($H1528="","",IFERROR(INDEX('Settings'!$J$10:$J$39,MATCH($H1528,'Settings'!$I$10:$I$39,0)),""))</f>
        <v/>
      </c>
      <c r="J1528" s="6" t="n"/>
      <c r="K1528" s="8" t="n"/>
      <c r="L1528" s="8" t="n"/>
      <c r="M1528" s="14">
        <f>IF($A1528="","",$J1528*$K1528)</f>
        <v/>
      </c>
      <c r="N1528" s="14">
        <f>IF($A1528="","",$M1528-$L1528)</f>
        <v/>
      </c>
      <c r="O1528" s="4" t="n"/>
      <c r="P1528" s="15">
        <f>IF($A1528="","",DATE(YEAR($A1528),MONTH($A1528),1))</f>
        <v/>
      </c>
      <c r="Q1528" s="16">
        <f>IF($H1528="","",$J1528*IFERROR(INDEX('Settings'!$L$10:$L$39,MATCH($H1528,'Settings'!$I$10:$I$39,0)),0))</f>
        <v/>
      </c>
      <c r="R1528" s="17">
        <f>IF($A1528="","",$A1528-WEEKDAY($A1528,2)+1)</f>
        <v/>
      </c>
    </row>
    <row r="1529">
      <c r="A1529" s="5" t="n"/>
      <c r="B1529" s="4" t="n"/>
      <c r="C1529" s="4" t="n"/>
      <c r="D1529" s="4" t="n"/>
      <c r="E1529" s="4" t="n"/>
      <c r="F1529" s="4" t="n"/>
      <c r="G1529" s="4" t="n"/>
      <c r="H1529" s="4" t="n"/>
      <c r="I1529" s="9">
        <f>IF($H1529="","",IFERROR(INDEX('Settings'!$J$10:$J$39,MATCH($H1529,'Settings'!$I$10:$I$39,0)),""))</f>
        <v/>
      </c>
      <c r="J1529" s="6" t="n"/>
      <c r="K1529" s="8" t="n"/>
      <c r="L1529" s="8" t="n"/>
      <c r="M1529" s="14">
        <f>IF($A1529="","",$J1529*$K1529)</f>
        <v/>
      </c>
      <c r="N1529" s="14">
        <f>IF($A1529="","",$M1529-$L1529)</f>
        <v/>
      </c>
      <c r="O1529" s="4" t="n"/>
      <c r="P1529" s="15">
        <f>IF($A1529="","",DATE(YEAR($A1529),MONTH($A1529),1))</f>
        <v/>
      </c>
      <c r="Q1529" s="16">
        <f>IF($H1529="","",$J1529*IFERROR(INDEX('Settings'!$L$10:$L$39,MATCH($H1529,'Settings'!$I$10:$I$39,0)),0))</f>
        <v/>
      </c>
      <c r="R1529" s="17">
        <f>IF($A1529="","",$A1529-WEEKDAY($A1529,2)+1)</f>
        <v/>
      </c>
    </row>
    <row r="1530">
      <c r="A1530" s="5" t="n"/>
      <c r="B1530" s="4" t="n"/>
      <c r="C1530" s="4" t="n"/>
      <c r="D1530" s="4" t="n"/>
      <c r="E1530" s="4" t="n"/>
      <c r="F1530" s="4" t="n"/>
      <c r="G1530" s="4" t="n"/>
      <c r="H1530" s="4" t="n"/>
      <c r="I1530" s="9">
        <f>IF($H1530="","",IFERROR(INDEX('Settings'!$J$10:$J$39,MATCH($H1530,'Settings'!$I$10:$I$39,0)),""))</f>
        <v/>
      </c>
      <c r="J1530" s="6" t="n"/>
      <c r="K1530" s="8" t="n"/>
      <c r="L1530" s="8" t="n"/>
      <c r="M1530" s="14">
        <f>IF($A1530="","",$J1530*$K1530)</f>
        <v/>
      </c>
      <c r="N1530" s="14">
        <f>IF($A1530="","",$M1530-$L1530)</f>
        <v/>
      </c>
      <c r="O1530" s="4" t="n"/>
      <c r="P1530" s="15">
        <f>IF($A1530="","",DATE(YEAR($A1530),MONTH($A1530),1))</f>
        <v/>
      </c>
      <c r="Q1530" s="16">
        <f>IF($H1530="","",$J1530*IFERROR(INDEX('Settings'!$L$10:$L$39,MATCH($H1530,'Settings'!$I$10:$I$39,0)),0))</f>
        <v/>
      </c>
      <c r="R1530" s="17">
        <f>IF($A1530="","",$A1530-WEEKDAY($A1530,2)+1)</f>
        <v/>
      </c>
    </row>
    <row r="1531">
      <c r="A1531" s="5" t="n"/>
      <c r="B1531" s="4" t="n"/>
      <c r="C1531" s="4" t="n"/>
      <c r="D1531" s="4" t="n"/>
      <c r="E1531" s="4" t="n"/>
      <c r="F1531" s="4" t="n"/>
      <c r="G1531" s="4" t="n"/>
      <c r="H1531" s="4" t="n"/>
      <c r="I1531" s="9">
        <f>IF($H1531="","",IFERROR(INDEX('Settings'!$J$10:$J$39,MATCH($H1531,'Settings'!$I$10:$I$39,0)),""))</f>
        <v/>
      </c>
      <c r="J1531" s="6" t="n"/>
      <c r="K1531" s="8" t="n"/>
      <c r="L1531" s="8" t="n"/>
      <c r="M1531" s="14">
        <f>IF($A1531="","",$J1531*$K1531)</f>
        <v/>
      </c>
      <c r="N1531" s="14">
        <f>IF($A1531="","",$M1531-$L1531)</f>
        <v/>
      </c>
      <c r="O1531" s="4" t="n"/>
      <c r="P1531" s="15">
        <f>IF($A1531="","",DATE(YEAR($A1531),MONTH($A1531),1))</f>
        <v/>
      </c>
      <c r="Q1531" s="16">
        <f>IF($H1531="","",$J1531*IFERROR(INDEX('Settings'!$L$10:$L$39,MATCH($H1531,'Settings'!$I$10:$I$39,0)),0))</f>
        <v/>
      </c>
      <c r="R1531" s="17">
        <f>IF($A1531="","",$A1531-WEEKDAY($A1531,2)+1)</f>
        <v/>
      </c>
    </row>
    <row r="1532">
      <c r="A1532" s="5" t="n"/>
      <c r="B1532" s="4" t="n"/>
      <c r="C1532" s="4" t="n"/>
      <c r="D1532" s="4" t="n"/>
      <c r="E1532" s="4" t="n"/>
      <c r="F1532" s="4" t="n"/>
      <c r="G1532" s="4" t="n"/>
      <c r="H1532" s="4" t="n"/>
      <c r="I1532" s="9">
        <f>IF($H1532="","",IFERROR(INDEX('Settings'!$J$10:$J$39,MATCH($H1532,'Settings'!$I$10:$I$39,0)),""))</f>
        <v/>
      </c>
      <c r="J1532" s="6" t="n"/>
      <c r="K1532" s="8" t="n"/>
      <c r="L1532" s="8" t="n"/>
      <c r="M1532" s="14">
        <f>IF($A1532="","",$J1532*$K1532)</f>
        <v/>
      </c>
      <c r="N1532" s="14">
        <f>IF($A1532="","",$M1532-$L1532)</f>
        <v/>
      </c>
      <c r="O1532" s="4" t="n"/>
      <c r="P1532" s="15">
        <f>IF($A1532="","",DATE(YEAR($A1532),MONTH($A1532),1))</f>
        <v/>
      </c>
      <c r="Q1532" s="16">
        <f>IF($H1532="","",$J1532*IFERROR(INDEX('Settings'!$L$10:$L$39,MATCH($H1532,'Settings'!$I$10:$I$39,0)),0))</f>
        <v/>
      </c>
      <c r="R1532" s="17">
        <f>IF($A1532="","",$A1532-WEEKDAY($A1532,2)+1)</f>
        <v/>
      </c>
    </row>
    <row r="1533">
      <c r="A1533" s="5" t="n"/>
      <c r="B1533" s="4" t="n"/>
      <c r="C1533" s="4" t="n"/>
      <c r="D1533" s="4" t="n"/>
      <c r="E1533" s="4" t="n"/>
      <c r="F1533" s="4" t="n"/>
      <c r="G1533" s="4" t="n"/>
      <c r="H1533" s="4" t="n"/>
      <c r="I1533" s="9">
        <f>IF($H1533="","",IFERROR(INDEX('Settings'!$J$10:$J$39,MATCH($H1533,'Settings'!$I$10:$I$39,0)),""))</f>
        <v/>
      </c>
      <c r="J1533" s="6" t="n"/>
      <c r="K1533" s="8" t="n"/>
      <c r="L1533" s="8" t="n"/>
      <c r="M1533" s="14">
        <f>IF($A1533="","",$J1533*$K1533)</f>
        <v/>
      </c>
      <c r="N1533" s="14">
        <f>IF($A1533="","",$M1533-$L1533)</f>
        <v/>
      </c>
      <c r="O1533" s="4" t="n"/>
      <c r="P1533" s="15">
        <f>IF($A1533="","",DATE(YEAR($A1533),MONTH($A1533),1))</f>
        <v/>
      </c>
      <c r="Q1533" s="16">
        <f>IF($H1533="","",$J1533*IFERROR(INDEX('Settings'!$L$10:$L$39,MATCH($H1533,'Settings'!$I$10:$I$39,0)),0))</f>
        <v/>
      </c>
      <c r="R1533" s="17">
        <f>IF($A1533="","",$A1533-WEEKDAY($A1533,2)+1)</f>
        <v/>
      </c>
    </row>
    <row r="1534">
      <c r="A1534" s="5" t="n"/>
      <c r="B1534" s="4" t="n"/>
      <c r="C1534" s="4" t="n"/>
      <c r="D1534" s="4" t="n"/>
      <c r="E1534" s="4" t="n"/>
      <c r="F1534" s="4" t="n"/>
      <c r="G1534" s="4" t="n"/>
      <c r="H1534" s="4" t="n"/>
      <c r="I1534" s="9">
        <f>IF($H1534="","",IFERROR(INDEX('Settings'!$J$10:$J$39,MATCH($H1534,'Settings'!$I$10:$I$39,0)),""))</f>
        <v/>
      </c>
      <c r="J1534" s="6" t="n"/>
      <c r="K1534" s="8" t="n"/>
      <c r="L1534" s="8" t="n"/>
      <c r="M1534" s="14">
        <f>IF($A1534="","",$J1534*$K1534)</f>
        <v/>
      </c>
      <c r="N1534" s="14">
        <f>IF($A1534="","",$M1534-$L1534)</f>
        <v/>
      </c>
      <c r="O1534" s="4" t="n"/>
      <c r="P1534" s="15">
        <f>IF($A1534="","",DATE(YEAR($A1534),MONTH($A1534),1))</f>
        <v/>
      </c>
      <c r="Q1534" s="16">
        <f>IF($H1534="","",$J1534*IFERROR(INDEX('Settings'!$L$10:$L$39,MATCH($H1534,'Settings'!$I$10:$I$39,0)),0))</f>
        <v/>
      </c>
      <c r="R1534" s="17">
        <f>IF($A1534="","",$A1534-WEEKDAY($A1534,2)+1)</f>
        <v/>
      </c>
    </row>
    <row r="1535">
      <c r="A1535" s="5" t="n"/>
      <c r="B1535" s="4" t="n"/>
      <c r="C1535" s="4" t="n"/>
      <c r="D1535" s="4" t="n"/>
      <c r="E1535" s="4" t="n"/>
      <c r="F1535" s="4" t="n"/>
      <c r="G1535" s="4" t="n"/>
      <c r="H1535" s="4" t="n"/>
      <c r="I1535" s="9">
        <f>IF($H1535="","",IFERROR(INDEX('Settings'!$J$10:$J$39,MATCH($H1535,'Settings'!$I$10:$I$39,0)),""))</f>
        <v/>
      </c>
      <c r="J1535" s="6" t="n"/>
      <c r="K1535" s="8" t="n"/>
      <c r="L1535" s="8" t="n"/>
      <c r="M1535" s="14">
        <f>IF($A1535="","",$J1535*$K1535)</f>
        <v/>
      </c>
      <c r="N1535" s="14">
        <f>IF($A1535="","",$M1535-$L1535)</f>
        <v/>
      </c>
      <c r="O1535" s="4" t="n"/>
      <c r="P1535" s="15">
        <f>IF($A1535="","",DATE(YEAR($A1535),MONTH($A1535),1))</f>
        <v/>
      </c>
      <c r="Q1535" s="16">
        <f>IF($H1535="","",$J1535*IFERROR(INDEX('Settings'!$L$10:$L$39,MATCH($H1535,'Settings'!$I$10:$I$39,0)),0))</f>
        <v/>
      </c>
      <c r="R1535" s="17">
        <f>IF($A1535="","",$A1535-WEEKDAY($A1535,2)+1)</f>
        <v/>
      </c>
    </row>
    <row r="1536">
      <c r="A1536" s="5" t="n"/>
      <c r="B1536" s="4" t="n"/>
      <c r="C1536" s="4" t="n"/>
      <c r="D1536" s="4" t="n"/>
      <c r="E1536" s="4" t="n"/>
      <c r="F1536" s="4" t="n"/>
      <c r="G1536" s="4" t="n"/>
      <c r="H1536" s="4" t="n"/>
      <c r="I1536" s="9">
        <f>IF($H1536="","",IFERROR(INDEX('Settings'!$J$10:$J$39,MATCH($H1536,'Settings'!$I$10:$I$39,0)),""))</f>
        <v/>
      </c>
      <c r="J1536" s="6" t="n"/>
      <c r="K1536" s="8" t="n"/>
      <c r="L1536" s="8" t="n"/>
      <c r="M1536" s="14">
        <f>IF($A1536="","",$J1536*$K1536)</f>
        <v/>
      </c>
      <c r="N1536" s="14">
        <f>IF($A1536="","",$M1536-$L1536)</f>
        <v/>
      </c>
      <c r="O1536" s="4" t="n"/>
      <c r="P1536" s="15">
        <f>IF($A1536="","",DATE(YEAR($A1536),MONTH($A1536),1))</f>
        <v/>
      </c>
      <c r="Q1536" s="16">
        <f>IF($H1536="","",$J1536*IFERROR(INDEX('Settings'!$L$10:$L$39,MATCH($H1536,'Settings'!$I$10:$I$39,0)),0))</f>
        <v/>
      </c>
      <c r="R1536" s="17">
        <f>IF($A1536="","",$A1536-WEEKDAY($A1536,2)+1)</f>
        <v/>
      </c>
    </row>
    <row r="1537">
      <c r="A1537" s="5" t="n"/>
      <c r="B1537" s="4" t="n"/>
      <c r="C1537" s="4" t="n"/>
      <c r="D1537" s="4" t="n"/>
      <c r="E1537" s="4" t="n"/>
      <c r="F1537" s="4" t="n"/>
      <c r="G1537" s="4" t="n"/>
      <c r="H1537" s="4" t="n"/>
      <c r="I1537" s="9">
        <f>IF($H1537="","",IFERROR(INDEX('Settings'!$J$10:$J$39,MATCH($H1537,'Settings'!$I$10:$I$39,0)),""))</f>
        <v/>
      </c>
      <c r="J1537" s="6" t="n"/>
      <c r="K1537" s="8" t="n"/>
      <c r="L1537" s="8" t="n"/>
      <c r="M1537" s="14">
        <f>IF($A1537="","",$J1537*$K1537)</f>
        <v/>
      </c>
      <c r="N1537" s="14">
        <f>IF($A1537="","",$M1537-$L1537)</f>
        <v/>
      </c>
      <c r="O1537" s="4" t="n"/>
      <c r="P1537" s="15">
        <f>IF($A1537="","",DATE(YEAR($A1537),MONTH($A1537),1))</f>
        <v/>
      </c>
      <c r="Q1537" s="16">
        <f>IF($H1537="","",$J1537*IFERROR(INDEX('Settings'!$L$10:$L$39,MATCH($H1537,'Settings'!$I$10:$I$39,0)),0))</f>
        <v/>
      </c>
      <c r="R1537" s="17">
        <f>IF($A1537="","",$A1537-WEEKDAY($A1537,2)+1)</f>
        <v/>
      </c>
    </row>
    <row r="1538">
      <c r="A1538" s="5" t="n"/>
      <c r="B1538" s="4" t="n"/>
      <c r="C1538" s="4" t="n"/>
      <c r="D1538" s="4" t="n"/>
      <c r="E1538" s="4" t="n"/>
      <c r="F1538" s="4" t="n"/>
      <c r="G1538" s="4" t="n"/>
      <c r="H1538" s="4" t="n"/>
      <c r="I1538" s="9">
        <f>IF($H1538="","",IFERROR(INDEX('Settings'!$J$10:$J$39,MATCH($H1538,'Settings'!$I$10:$I$39,0)),""))</f>
        <v/>
      </c>
      <c r="J1538" s="6" t="n"/>
      <c r="K1538" s="8" t="n"/>
      <c r="L1538" s="8" t="n"/>
      <c r="M1538" s="14">
        <f>IF($A1538="","",$J1538*$K1538)</f>
        <v/>
      </c>
      <c r="N1538" s="14">
        <f>IF($A1538="","",$M1538-$L1538)</f>
        <v/>
      </c>
      <c r="O1538" s="4" t="n"/>
      <c r="P1538" s="15">
        <f>IF($A1538="","",DATE(YEAR($A1538),MONTH($A1538),1))</f>
        <v/>
      </c>
      <c r="Q1538" s="16">
        <f>IF($H1538="","",$J1538*IFERROR(INDEX('Settings'!$L$10:$L$39,MATCH($H1538,'Settings'!$I$10:$I$39,0)),0))</f>
        <v/>
      </c>
      <c r="R1538" s="17">
        <f>IF($A1538="","",$A1538-WEEKDAY($A1538,2)+1)</f>
        <v/>
      </c>
    </row>
    <row r="1539">
      <c r="A1539" s="5" t="n"/>
      <c r="B1539" s="4" t="n"/>
      <c r="C1539" s="4" t="n"/>
      <c r="D1539" s="4" t="n"/>
      <c r="E1539" s="4" t="n"/>
      <c r="F1539" s="4" t="n"/>
      <c r="G1539" s="4" t="n"/>
      <c r="H1539" s="4" t="n"/>
      <c r="I1539" s="9">
        <f>IF($H1539="","",IFERROR(INDEX('Settings'!$J$10:$J$39,MATCH($H1539,'Settings'!$I$10:$I$39,0)),""))</f>
        <v/>
      </c>
      <c r="J1539" s="6" t="n"/>
      <c r="K1539" s="8" t="n"/>
      <c r="L1539" s="8" t="n"/>
      <c r="M1539" s="14">
        <f>IF($A1539="","",$J1539*$K1539)</f>
        <v/>
      </c>
      <c r="N1539" s="14">
        <f>IF($A1539="","",$M1539-$L1539)</f>
        <v/>
      </c>
      <c r="O1539" s="4" t="n"/>
      <c r="P1539" s="15">
        <f>IF($A1539="","",DATE(YEAR($A1539),MONTH($A1539),1))</f>
        <v/>
      </c>
      <c r="Q1539" s="16">
        <f>IF($H1539="","",$J1539*IFERROR(INDEX('Settings'!$L$10:$L$39,MATCH($H1539,'Settings'!$I$10:$I$39,0)),0))</f>
        <v/>
      </c>
      <c r="R1539" s="17">
        <f>IF($A1539="","",$A1539-WEEKDAY($A1539,2)+1)</f>
        <v/>
      </c>
    </row>
    <row r="1540">
      <c r="A1540" s="5" t="n"/>
      <c r="B1540" s="4" t="n"/>
      <c r="C1540" s="4" t="n"/>
      <c r="D1540" s="4" t="n"/>
      <c r="E1540" s="4" t="n"/>
      <c r="F1540" s="4" t="n"/>
      <c r="G1540" s="4" t="n"/>
      <c r="H1540" s="4" t="n"/>
      <c r="I1540" s="9">
        <f>IF($H1540="","",IFERROR(INDEX('Settings'!$J$10:$J$39,MATCH($H1540,'Settings'!$I$10:$I$39,0)),""))</f>
        <v/>
      </c>
      <c r="J1540" s="6" t="n"/>
      <c r="K1540" s="8" t="n"/>
      <c r="L1540" s="8" t="n"/>
      <c r="M1540" s="14">
        <f>IF($A1540="","",$J1540*$K1540)</f>
        <v/>
      </c>
      <c r="N1540" s="14">
        <f>IF($A1540="","",$M1540-$L1540)</f>
        <v/>
      </c>
      <c r="O1540" s="4" t="n"/>
      <c r="P1540" s="15">
        <f>IF($A1540="","",DATE(YEAR($A1540),MONTH($A1540),1))</f>
        <v/>
      </c>
      <c r="Q1540" s="16">
        <f>IF($H1540="","",$J1540*IFERROR(INDEX('Settings'!$L$10:$L$39,MATCH($H1540,'Settings'!$I$10:$I$39,0)),0))</f>
        <v/>
      </c>
      <c r="R1540" s="17">
        <f>IF($A1540="","",$A1540-WEEKDAY($A1540,2)+1)</f>
        <v/>
      </c>
    </row>
    <row r="1541">
      <c r="A1541" s="5" t="n"/>
      <c r="B1541" s="4" t="n"/>
      <c r="C1541" s="4" t="n"/>
      <c r="D1541" s="4" t="n"/>
      <c r="E1541" s="4" t="n"/>
      <c r="F1541" s="4" t="n"/>
      <c r="G1541" s="4" t="n"/>
      <c r="H1541" s="4" t="n"/>
      <c r="I1541" s="9">
        <f>IF($H1541="","",IFERROR(INDEX('Settings'!$J$10:$J$39,MATCH($H1541,'Settings'!$I$10:$I$39,0)),""))</f>
        <v/>
      </c>
      <c r="J1541" s="6" t="n"/>
      <c r="K1541" s="8" t="n"/>
      <c r="L1541" s="8" t="n"/>
      <c r="M1541" s="14">
        <f>IF($A1541="","",$J1541*$K1541)</f>
        <v/>
      </c>
      <c r="N1541" s="14">
        <f>IF($A1541="","",$M1541-$L1541)</f>
        <v/>
      </c>
      <c r="O1541" s="4" t="n"/>
      <c r="P1541" s="15">
        <f>IF($A1541="","",DATE(YEAR($A1541),MONTH($A1541),1))</f>
        <v/>
      </c>
      <c r="Q1541" s="16">
        <f>IF($H1541="","",$J1541*IFERROR(INDEX('Settings'!$L$10:$L$39,MATCH($H1541,'Settings'!$I$10:$I$39,0)),0))</f>
        <v/>
      </c>
      <c r="R1541" s="17">
        <f>IF($A1541="","",$A1541-WEEKDAY($A1541,2)+1)</f>
        <v/>
      </c>
    </row>
    <row r="1542">
      <c r="A1542" s="5" t="n"/>
      <c r="B1542" s="4" t="n"/>
      <c r="C1542" s="4" t="n"/>
      <c r="D1542" s="4" t="n"/>
      <c r="E1542" s="4" t="n"/>
      <c r="F1542" s="4" t="n"/>
      <c r="G1542" s="4" t="n"/>
      <c r="H1542" s="4" t="n"/>
      <c r="I1542" s="9">
        <f>IF($H1542="","",IFERROR(INDEX('Settings'!$J$10:$J$39,MATCH($H1542,'Settings'!$I$10:$I$39,0)),""))</f>
        <v/>
      </c>
      <c r="J1542" s="6" t="n"/>
      <c r="K1542" s="8" t="n"/>
      <c r="L1542" s="8" t="n"/>
      <c r="M1542" s="14">
        <f>IF($A1542="","",$J1542*$K1542)</f>
        <v/>
      </c>
      <c r="N1542" s="14">
        <f>IF($A1542="","",$M1542-$L1542)</f>
        <v/>
      </c>
      <c r="O1542" s="4" t="n"/>
      <c r="P1542" s="15">
        <f>IF($A1542="","",DATE(YEAR($A1542),MONTH($A1542),1))</f>
        <v/>
      </c>
      <c r="Q1542" s="16">
        <f>IF($H1542="","",$J1542*IFERROR(INDEX('Settings'!$L$10:$L$39,MATCH($H1542,'Settings'!$I$10:$I$39,0)),0))</f>
        <v/>
      </c>
      <c r="R1542" s="17">
        <f>IF($A1542="","",$A1542-WEEKDAY($A1542,2)+1)</f>
        <v/>
      </c>
    </row>
    <row r="1543">
      <c r="A1543" s="5" t="n"/>
      <c r="B1543" s="4" t="n"/>
      <c r="C1543" s="4" t="n"/>
      <c r="D1543" s="4" t="n"/>
      <c r="E1543" s="4" t="n"/>
      <c r="F1543" s="4" t="n"/>
      <c r="G1543" s="4" t="n"/>
      <c r="H1543" s="4" t="n"/>
      <c r="I1543" s="9">
        <f>IF($H1543="","",IFERROR(INDEX('Settings'!$J$10:$J$39,MATCH($H1543,'Settings'!$I$10:$I$39,0)),""))</f>
        <v/>
      </c>
      <c r="J1543" s="6" t="n"/>
      <c r="K1543" s="8" t="n"/>
      <c r="L1543" s="8" t="n"/>
      <c r="M1543" s="14">
        <f>IF($A1543="","",$J1543*$K1543)</f>
        <v/>
      </c>
      <c r="N1543" s="14">
        <f>IF($A1543="","",$M1543-$L1543)</f>
        <v/>
      </c>
      <c r="O1543" s="4" t="n"/>
      <c r="P1543" s="15">
        <f>IF($A1543="","",DATE(YEAR($A1543),MONTH($A1543),1))</f>
        <v/>
      </c>
      <c r="Q1543" s="16">
        <f>IF($H1543="","",$J1543*IFERROR(INDEX('Settings'!$L$10:$L$39,MATCH($H1543,'Settings'!$I$10:$I$39,0)),0))</f>
        <v/>
      </c>
      <c r="R1543" s="17">
        <f>IF($A1543="","",$A1543-WEEKDAY($A1543,2)+1)</f>
        <v/>
      </c>
    </row>
    <row r="1544">
      <c r="A1544" s="5" t="n"/>
      <c r="B1544" s="4" t="n"/>
      <c r="C1544" s="4" t="n"/>
      <c r="D1544" s="4" t="n"/>
      <c r="E1544" s="4" t="n"/>
      <c r="F1544" s="4" t="n"/>
      <c r="G1544" s="4" t="n"/>
      <c r="H1544" s="4" t="n"/>
      <c r="I1544" s="9">
        <f>IF($H1544="","",IFERROR(INDEX('Settings'!$J$10:$J$39,MATCH($H1544,'Settings'!$I$10:$I$39,0)),""))</f>
        <v/>
      </c>
      <c r="J1544" s="6" t="n"/>
      <c r="K1544" s="8" t="n"/>
      <c r="L1544" s="8" t="n"/>
      <c r="M1544" s="14">
        <f>IF($A1544="","",$J1544*$K1544)</f>
        <v/>
      </c>
      <c r="N1544" s="14">
        <f>IF($A1544="","",$M1544-$L1544)</f>
        <v/>
      </c>
      <c r="O1544" s="4" t="n"/>
      <c r="P1544" s="15">
        <f>IF($A1544="","",DATE(YEAR($A1544),MONTH($A1544),1))</f>
        <v/>
      </c>
      <c r="Q1544" s="16">
        <f>IF($H1544="","",$J1544*IFERROR(INDEX('Settings'!$L$10:$L$39,MATCH($H1544,'Settings'!$I$10:$I$39,0)),0))</f>
        <v/>
      </c>
      <c r="R1544" s="17">
        <f>IF($A1544="","",$A1544-WEEKDAY($A1544,2)+1)</f>
        <v/>
      </c>
    </row>
    <row r="1545">
      <c r="A1545" s="5" t="n"/>
      <c r="B1545" s="4" t="n"/>
      <c r="C1545" s="4" t="n"/>
      <c r="D1545" s="4" t="n"/>
      <c r="E1545" s="4" t="n"/>
      <c r="F1545" s="4" t="n"/>
      <c r="G1545" s="4" t="n"/>
      <c r="H1545" s="4" t="n"/>
      <c r="I1545" s="9">
        <f>IF($H1545="","",IFERROR(INDEX('Settings'!$J$10:$J$39,MATCH($H1545,'Settings'!$I$10:$I$39,0)),""))</f>
        <v/>
      </c>
      <c r="J1545" s="6" t="n"/>
      <c r="K1545" s="8" t="n"/>
      <c r="L1545" s="8" t="n"/>
      <c r="M1545" s="14">
        <f>IF($A1545="","",$J1545*$K1545)</f>
        <v/>
      </c>
      <c r="N1545" s="14">
        <f>IF($A1545="","",$M1545-$L1545)</f>
        <v/>
      </c>
      <c r="O1545" s="4" t="n"/>
      <c r="P1545" s="15">
        <f>IF($A1545="","",DATE(YEAR($A1545),MONTH($A1545),1))</f>
        <v/>
      </c>
      <c r="Q1545" s="16">
        <f>IF($H1545="","",$J1545*IFERROR(INDEX('Settings'!$L$10:$L$39,MATCH($H1545,'Settings'!$I$10:$I$39,0)),0))</f>
        <v/>
      </c>
      <c r="R1545" s="17">
        <f>IF($A1545="","",$A1545-WEEKDAY($A1545,2)+1)</f>
        <v/>
      </c>
    </row>
    <row r="1546">
      <c r="A1546" s="5" t="n"/>
      <c r="B1546" s="4" t="n"/>
      <c r="C1546" s="4" t="n"/>
      <c r="D1546" s="4" t="n"/>
      <c r="E1546" s="4" t="n"/>
      <c r="F1546" s="4" t="n"/>
      <c r="G1546" s="4" t="n"/>
      <c r="H1546" s="4" t="n"/>
      <c r="I1546" s="9">
        <f>IF($H1546="","",IFERROR(INDEX('Settings'!$J$10:$J$39,MATCH($H1546,'Settings'!$I$10:$I$39,0)),""))</f>
        <v/>
      </c>
      <c r="J1546" s="6" t="n"/>
      <c r="K1546" s="8" t="n"/>
      <c r="L1546" s="8" t="n"/>
      <c r="M1546" s="14">
        <f>IF($A1546="","",$J1546*$K1546)</f>
        <v/>
      </c>
      <c r="N1546" s="14">
        <f>IF($A1546="","",$M1546-$L1546)</f>
        <v/>
      </c>
      <c r="O1546" s="4" t="n"/>
      <c r="P1546" s="15">
        <f>IF($A1546="","",DATE(YEAR($A1546),MONTH($A1546),1))</f>
        <v/>
      </c>
      <c r="Q1546" s="16">
        <f>IF($H1546="","",$J1546*IFERROR(INDEX('Settings'!$L$10:$L$39,MATCH($H1546,'Settings'!$I$10:$I$39,0)),0))</f>
        <v/>
      </c>
      <c r="R1546" s="17">
        <f>IF($A1546="","",$A1546-WEEKDAY($A1546,2)+1)</f>
        <v/>
      </c>
    </row>
    <row r="1547">
      <c r="A1547" s="5" t="n"/>
      <c r="B1547" s="4" t="n"/>
      <c r="C1547" s="4" t="n"/>
      <c r="D1547" s="4" t="n"/>
      <c r="E1547" s="4" t="n"/>
      <c r="F1547" s="4" t="n"/>
      <c r="G1547" s="4" t="n"/>
      <c r="H1547" s="4" t="n"/>
      <c r="I1547" s="9">
        <f>IF($H1547="","",IFERROR(INDEX('Settings'!$J$10:$J$39,MATCH($H1547,'Settings'!$I$10:$I$39,0)),""))</f>
        <v/>
      </c>
      <c r="J1547" s="6" t="n"/>
      <c r="K1547" s="8" t="n"/>
      <c r="L1547" s="8" t="n"/>
      <c r="M1547" s="14">
        <f>IF($A1547="","",$J1547*$K1547)</f>
        <v/>
      </c>
      <c r="N1547" s="14">
        <f>IF($A1547="","",$M1547-$L1547)</f>
        <v/>
      </c>
      <c r="O1547" s="4" t="n"/>
      <c r="P1547" s="15">
        <f>IF($A1547="","",DATE(YEAR($A1547),MONTH($A1547),1))</f>
        <v/>
      </c>
      <c r="Q1547" s="16">
        <f>IF($H1547="","",$J1547*IFERROR(INDEX('Settings'!$L$10:$L$39,MATCH($H1547,'Settings'!$I$10:$I$39,0)),0))</f>
        <v/>
      </c>
      <c r="R1547" s="17">
        <f>IF($A1547="","",$A1547-WEEKDAY($A1547,2)+1)</f>
        <v/>
      </c>
    </row>
    <row r="1548">
      <c r="A1548" s="5" t="n"/>
      <c r="B1548" s="4" t="n"/>
      <c r="C1548" s="4" t="n"/>
      <c r="D1548" s="4" t="n"/>
      <c r="E1548" s="4" t="n"/>
      <c r="F1548" s="4" t="n"/>
      <c r="G1548" s="4" t="n"/>
      <c r="H1548" s="4" t="n"/>
      <c r="I1548" s="9">
        <f>IF($H1548="","",IFERROR(INDEX('Settings'!$J$10:$J$39,MATCH($H1548,'Settings'!$I$10:$I$39,0)),""))</f>
        <v/>
      </c>
      <c r="J1548" s="6" t="n"/>
      <c r="K1548" s="8" t="n"/>
      <c r="L1548" s="8" t="n"/>
      <c r="M1548" s="14">
        <f>IF($A1548="","",$J1548*$K1548)</f>
        <v/>
      </c>
      <c r="N1548" s="14">
        <f>IF($A1548="","",$M1548-$L1548)</f>
        <v/>
      </c>
      <c r="O1548" s="4" t="n"/>
      <c r="P1548" s="15">
        <f>IF($A1548="","",DATE(YEAR($A1548),MONTH($A1548),1))</f>
        <v/>
      </c>
      <c r="Q1548" s="16">
        <f>IF($H1548="","",$J1548*IFERROR(INDEX('Settings'!$L$10:$L$39,MATCH($H1548,'Settings'!$I$10:$I$39,0)),0))</f>
        <v/>
      </c>
      <c r="R1548" s="17">
        <f>IF($A1548="","",$A1548-WEEKDAY($A1548,2)+1)</f>
        <v/>
      </c>
    </row>
    <row r="1549">
      <c r="A1549" s="5" t="n"/>
      <c r="B1549" s="4" t="n"/>
      <c r="C1549" s="4" t="n"/>
      <c r="D1549" s="4" t="n"/>
      <c r="E1549" s="4" t="n"/>
      <c r="F1549" s="4" t="n"/>
      <c r="G1549" s="4" t="n"/>
      <c r="H1549" s="4" t="n"/>
      <c r="I1549" s="9">
        <f>IF($H1549="","",IFERROR(INDEX('Settings'!$J$10:$J$39,MATCH($H1549,'Settings'!$I$10:$I$39,0)),""))</f>
        <v/>
      </c>
      <c r="J1549" s="6" t="n"/>
      <c r="K1549" s="8" t="n"/>
      <c r="L1549" s="8" t="n"/>
      <c r="M1549" s="14">
        <f>IF($A1549="","",$J1549*$K1549)</f>
        <v/>
      </c>
      <c r="N1549" s="14">
        <f>IF($A1549="","",$M1549-$L1549)</f>
        <v/>
      </c>
      <c r="O1549" s="4" t="n"/>
      <c r="P1549" s="15">
        <f>IF($A1549="","",DATE(YEAR($A1549),MONTH($A1549),1))</f>
        <v/>
      </c>
      <c r="Q1549" s="16">
        <f>IF($H1549="","",$J1549*IFERROR(INDEX('Settings'!$L$10:$L$39,MATCH($H1549,'Settings'!$I$10:$I$39,0)),0))</f>
        <v/>
      </c>
      <c r="R1549" s="17">
        <f>IF($A1549="","",$A1549-WEEKDAY($A1549,2)+1)</f>
        <v/>
      </c>
    </row>
    <row r="1550">
      <c r="A1550" s="5" t="n"/>
      <c r="B1550" s="4" t="n"/>
      <c r="C1550" s="4" t="n"/>
      <c r="D1550" s="4" t="n"/>
      <c r="E1550" s="4" t="n"/>
      <c r="F1550" s="4" t="n"/>
      <c r="G1550" s="4" t="n"/>
      <c r="H1550" s="4" t="n"/>
      <c r="I1550" s="9">
        <f>IF($H1550="","",IFERROR(INDEX('Settings'!$J$10:$J$39,MATCH($H1550,'Settings'!$I$10:$I$39,0)),""))</f>
        <v/>
      </c>
      <c r="J1550" s="6" t="n"/>
      <c r="K1550" s="8" t="n"/>
      <c r="L1550" s="8" t="n"/>
      <c r="M1550" s="14">
        <f>IF($A1550="","",$J1550*$K1550)</f>
        <v/>
      </c>
      <c r="N1550" s="14">
        <f>IF($A1550="","",$M1550-$L1550)</f>
        <v/>
      </c>
      <c r="O1550" s="4" t="n"/>
      <c r="P1550" s="15">
        <f>IF($A1550="","",DATE(YEAR($A1550),MONTH($A1550),1))</f>
        <v/>
      </c>
      <c r="Q1550" s="16">
        <f>IF($H1550="","",$J1550*IFERROR(INDEX('Settings'!$L$10:$L$39,MATCH($H1550,'Settings'!$I$10:$I$39,0)),0))</f>
        <v/>
      </c>
      <c r="R1550" s="17">
        <f>IF($A1550="","",$A1550-WEEKDAY($A1550,2)+1)</f>
        <v/>
      </c>
    </row>
    <row r="1551">
      <c r="A1551" s="5" t="n"/>
      <c r="B1551" s="4" t="n"/>
      <c r="C1551" s="4" t="n"/>
      <c r="D1551" s="4" t="n"/>
      <c r="E1551" s="4" t="n"/>
      <c r="F1551" s="4" t="n"/>
      <c r="G1551" s="4" t="n"/>
      <c r="H1551" s="4" t="n"/>
      <c r="I1551" s="9">
        <f>IF($H1551="","",IFERROR(INDEX('Settings'!$J$10:$J$39,MATCH($H1551,'Settings'!$I$10:$I$39,0)),""))</f>
        <v/>
      </c>
      <c r="J1551" s="6" t="n"/>
      <c r="K1551" s="8" t="n"/>
      <c r="L1551" s="8" t="n"/>
      <c r="M1551" s="14">
        <f>IF($A1551="","",$J1551*$K1551)</f>
        <v/>
      </c>
      <c r="N1551" s="14">
        <f>IF($A1551="","",$M1551-$L1551)</f>
        <v/>
      </c>
      <c r="O1551" s="4" t="n"/>
      <c r="P1551" s="15">
        <f>IF($A1551="","",DATE(YEAR($A1551),MONTH($A1551),1))</f>
        <v/>
      </c>
      <c r="Q1551" s="16">
        <f>IF($H1551="","",$J1551*IFERROR(INDEX('Settings'!$L$10:$L$39,MATCH($H1551,'Settings'!$I$10:$I$39,0)),0))</f>
        <v/>
      </c>
      <c r="R1551" s="17">
        <f>IF($A1551="","",$A1551-WEEKDAY($A1551,2)+1)</f>
        <v/>
      </c>
    </row>
    <row r="1552">
      <c r="A1552" s="5" t="n"/>
      <c r="B1552" s="4" t="n"/>
      <c r="C1552" s="4" t="n"/>
      <c r="D1552" s="4" t="n"/>
      <c r="E1552" s="4" t="n"/>
      <c r="F1552" s="4" t="n"/>
      <c r="G1552" s="4" t="n"/>
      <c r="H1552" s="4" t="n"/>
      <c r="I1552" s="9">
        <f>IF($H1552="","",IFERROR(INDEX('Settings'!$J$10:$J$39,MATCH($H1552,'Settings'!$I$10:$I$39,0)),""))</f>
        <v/>
      </c>
      <c r="J1552" s="6" t="n"/>
      <c r="K1552" s="8" t="n"/>
      <c r="L1552" s="8" t="n"/>
      <c r="M1552" s="14">
        <f>IF($A1552="","",$J1552*$K1552)</f>
        <v/>
      </c>
      <c r="N1552" s="14">
        <f>IF($A1552="","",$M1552-$L1552)</f>
        <v/>
      </c>
      <c r="O1552" s="4" t="n"/>
      <c r="P1552" s="15">
        <f>IF($A1552="","",DATE(YEAR($A1552),MONTH($A1552),1))</f>
        <v/>
      </c>
      <c r="Q1552" s="16">
        <f>IF($H1552="","",$J1552*IFERROR(INDEX('Settings'!$L$10:$L$39,MATCH($H1552,'Settings'!$I$10:$I$39,0)),0))</f>
        <v/>
      </c>
      <c r="R1552" s="17">
        <f>IF($A1552="","",$A1552-WEEKDAY($A1552,2)+1)</f>
        <v/>
      </c>
    </row>
    <row r="1553">
      <c r="A1553" s="5" t="n"/>
      <c r="B1553" s="4" t="n"/>
      <c r="C1553" s="4" t="n"/>
      <c r="D1553" s="4" t="n"/>
      <c r="E1553" s="4" t="n"/>
      <c r="F1553" s="4" t="n"/>
      <c r="G1553" s="4" t="n"/>
      <c r="H1553" s="4" t="n"/>
      <c r="I1553" s="9">
        <f>IF($H1553="","",IFERROR(INDEX('Settings'!$J$10:$J$39,MATCH($H1553,'Settings'!$I$10:$I$39,0)),""))</f>
        <v/>
      </c>
      <c r="J1553" s="6" t="n"/>
      <c r="K1553" s="8" t="n"/>
      <c r="L1553" s="8" t="n"/>
      <c r="M1553" s="14">
        <f>IF($A1553="","",$J1553*$K1553)</f>
        <v/>
      </c>
      <c r="N1553" s="14">
        <f>IF($A1553="","",$M1553-$L1553)</f>
        <v/>
      </c>
      <c r="O1553" s="4" t="n"/>
      <c r="P1553" s="15">
        <f>IF($A1553="","",DATE(YEAR($A1553),MONTH($A1553),1))</f>
        <v/>
      </c>
      <c r="Q1553" s="16">
        <f>IF($H1553="","",$J1553*IFERROR(INDEX('Settings'!$L$10:$L$39,MATCH($H1553,'Settings'!$I$10:$I$39,0)),0))</f>
        <v/>
      </c>
      <c r="R1553" s="17">
        <f>IF($A1553="","",$A1553-WEEKDAY($A1553,2)+1)</f>
        <v/>
      </c>
    </row>
    <row r="1554">
      <c r="A1554" s="5" t="n"/>
      <c r="B1554" s="4" t="n"/>
      <c r="C1554" s="4" t="n"/>
      <c r="D1554" s="4" t="n"/>
      <c r="E1554" s="4" t="n"/>
      <c r="F1554" s="4" t="n"/>
      <c r="G1554" s="4" t="n"/>
      <c r="H1554" s="4" t="n"/>
      <c r="I1554" s="9">
        <f>IF($H1554="","",IFERROR(INDEX('Settings'!$J$10:$J$39,MATCH($H1554,'Settings'!$I$10:$I$39,0)),""))</f>
        <v/>
      </c>
      <c r="J1554" s="6" t="n"/>
      <c r="K1554" s="8" t="n"/>
      <c r="L1554" s="8" t="n"/>
      <c r="M1554" s="14">
        <f>IF($A1554="","",$J1554*$K1554)</f>
        <v/>
      </c>
      <c r="N1554" s="14">
        <f>IF($A1554="","",$M1554-$L1554)</f>
        <v/>
      </c>
      <c r="O1554" s="4" t="n"/>
      <c r="P1554" s="15">
        <f>IF($A1554="","",DATE(YEAR($A1554),MONTH($A1554),1))</f>
        <v/>
      </c>
      <c r="Q1554" s="16">
        <f>IF($H1554="","",$J1554*IFERROR(INDEX('Settings'!$L$10:$L$39,MATCH($H1554,'Settings'!$I$10:$I$39,0)),0))</f>
        <v/>
      </c>
      <c r="R1554" s="17">
        <f>IF($A1554="","",$A1554-WEEKDAY($A1554,2)+1)</f>
        <v/>
      </c>
    </row>
    <row r="1555">
      <c r="A1555" s="5" t="n"/>
      <c r="B1555" s="4" t="n"/>
      <c r="C1555" s="4" t="n"/>
      <c r="D1555" s="4" t="n"/>
      <c r="E1555" s="4" t="n"/>
      <c r="F1555" s="4" t="n"/>
      <c r="G1555" s="4" t="n"/>
      <c r="H1555" s="4" t="n"/>
      <c r="I1555" s="9">
        <f>IF($H1555="","",IFERROR(INDEX('Settings'!$J$10:$J$39,MATCH($H1555,'Settings'!$I$10:$I$39,0)),""))</f>
        <v/>
      </c>
      <c r="J1555" s="6" t="n"/>
      <c r="K1555" s="8" t="n"/>
      <c r="L1555" s="8" t="n"/>
      <c r="M1555" s="14">
        <f>IF($A1555="","",$J1555*$K1555)</f>
        <v/>
      </c>
      <c r="N1555" s="14">
        <f>IF($A1555="","",$M1555-$L1555)</f>
        <v/>
      </c>
      <c r="O1555" s="4" t="n"/>
      <c r="P1555" s="15">
        <f>IF($A1555="","",DATE(YEAR($A1555),MONTH($A1555),1))</f>
        <v/>
      </c>
      <c r="Q1555" s="16">
        <f>IF($H1555="","",$J1555*IFERROR(INDEX('Settings'!$L$10:$L$39,MATCH($H1555,'Settings'!$I$10:$I$39,0)),0))</f>
        <v/>
      </c>
      <c r="R1555" s="17">
        <f>IF($A1555="","",$A1555-WEEKDAY($A1555,2)+1)</f>
        <v/>
      </c>
    </row>
    <row r="1556">
      <c r="A1556" s="5" t="n"/>
      <c r="B1556" s="4" t="n"/>
      <c r="C1556" s="4" t="n"/>
      <c r="D1556" s="4" t="n"/>
      <c r="E1556" s="4" t="n"/>
      <c r="F1556" s="4" t="n"/>
      <c r="G1556" s="4" t="n"/>
      <c r="H1556" s="4" t="n"/>
      <c r="I1556" s="9">
        <f>IF($H1556="","",IFERROR(INDEX('Settings'!$J$10:$J$39,MATCH($H1556,'Settings'!$I$10:$I$39,0)),""))</f>
        <v/>
      </c>
      <c r="J1556" s="6" t="n"/>
      <c r="K1556" s="8" t="n"/>
      <c r="L1556" s="8" t="n"/>
      <c r="M1556" s="14">
        <f>IF($A1556="","",$J1556*$K1556)</f>
        <v/>
      </c>
      <c r="N1556" s="14">
        <f>IF($A1556="","",$M1556-$L1556)</f>
        <v/>
      </c>
      <c r="O1556" s="4" t="n"/>
      <c r="P1556" s="15">
        <f>IF($A1556="","",DATE(YEAR($A1556),MONTH($A1556),1))</f>
        <v/>
      </c>
      <c r="Q1556" s="16">
        <f>IF($H1556="","",$J1556*IFERROR(INDEX('Settings'!$L$10:$L$39,MATCH($H1556,'Settings'!$I$10:$I$39,0)),0))</f>
        <v/>
      </c>
      <c r="R1556" s="17">
        <f>IF($A1556="","",$A1556-WEEKDAY($A1556,2)+1)</f>
        <v/>
      </c>
    </row>
    <row r="1557">
      <c r="A1557" s="5" t="n"/>
      <c r="B1557" s="4" t="n"/>
      <c r="C1557" s="4" t="n"/>
      <c r="D1557" s="4" t="n"/>
      <c r="E1557" s="4" t="n"/>
      <c r="F1557" s="4" t="n"/>
      <c r="G1557" s="4" t="n"/>
      <c r="H1557" s="4" t="n"/>
      <c r="I1557" s="9">
        <f>IF($H1557="","",IFERROR(INDEX('Settings'!$J$10:$J$39,MATCH($H1557,'Settings'!$I$10:$I$39,0)),""))</f>
        <v/>
      </c>
      <c r="J1557" s="6" t="n"/>
      <c r="K1557" s="8" t="n"/>
      <c r="L1557" s="8" t="n"/>
      <c r="M1557" s="14">
        <f>IF($A1557="","",$J1557*$K1557)</f>
        <v/>
      </c>
      <c r="N1557" s="14">
        <f>IF($A1557="","",$M1557-$L1557)</f>
        <v/>
      </c>
      <c r="O1557" s="4" t="n"/>
      <c r="P1557" s="15">
        <f>IF($A1557="","",DATE(YEAR($A1557),MONTH($A1557),1))</f>
        <v/>
      </c>
      <c r="Q1557" s="16">
        <f>IF($H1557="","",$J1557*IFERROR(INDEX('Settings'!$L$10:$L$39,MATCH($H1557,'Settings'!$I$10:$I$39,0)),0))</f>
        <v/>
      </c>
      <c r="R1557" s="17">
        <f>IF($A1557="","",$A1557-WEEKDAY($A1557,2)+1)</f>
        <v/>
      </c>
    </row>
    <row r="1558">
      <c r="A1558" s="5" t="n"/>
      <c r="B1558" s="4" t="n"/>
      <c r="C1558" s="4" t="n"/>
      <c r="D1558" s="4" t="n"/>
      <c r="E1558" s="4" t="n"/>
      <c r="F1558" s="4" t="n"/>
      <c r="G1558" s="4" t="n"/>
      <c r="H1558" s="4" t="n"/>
      <c r="I1558" s="9">
        <f>IF($H1558="","",IFERROR(INDEX('Settings'!$J$10:$J$39,MATCH($H1558,'Settings'!$I$10:$I$39,0)),""))</f>
        <v/>
      </c>
      <c r="J1558" s="6" t="n"/>
      <c r="K1558" s="8" t="n"/>
      <c r="L1558" s="8" t="n"/>
      <c r="M1558" s="14">
        <f>IF($A1558="","",$J1558*$K1558)</f>
        <v/>
      </c>
      <c r="N1558" s="14">
        <f>IF($A1558="","",$M1558-$L1558)</f>
        <v/>
      </c>
      <c r="O1558" s="4" t="n"/>
      <c r="P1558" s="15">
        <f>IF($A1558="","",DATE(YEAR($A1558),MONTH($A1558),1))</f>
        <v/>
      </c>
      <c r="Q1558" s="16">
        <f>IF($H1558="","",$J1558*IFERROR(INDEX('Settings'!$L$10:$L$39,MATCH($H1558,'Settings'!$I$10:$I$39,0)),0))</f>
        <v/>
      </c>
      <c r="R1558" s="17">
        <f>IF($A1558="","",$A1558-WEEKDAY($A1558,2)+1)</f>
        <v/>
      </c>
    </row>
    <row r="1559">
      <c r="A1559" s="5" t="n"/>
      <c r="B1559" s="4" t="n"/>
      <c r="C1559" s="4" t="n"/>
      <c r="D1559" s="4" t="n"/>
      <c r="E1559" s="4" t="n"/>
      <c r="F1559" s="4" t="n"/>
      <c r="G1559" s="4" t="n"/>
      <c r="H1559" s="4" t="n"/>
      <c r="I1559" s="9">
        <f>IF($H1559="","",IFERROR(INDEX('Settings'!$J$10:$J$39,MATCH($H1559,'Settings'!$I$10:$I$39,0)),""))</f>
        <v/>
      </c>
      <c r="J1559" s="6" t="n"/>
      <c r="K1559" s="8" t="n"/>
      <c r="L1559" s="8" t="n"/>
      <c r="M1559" s="14">
        <f>IF($A1559="","",$J1559*$K1559)</f>
        <v/>
      </c>
      <c r="N1559" s="14">
        <f>IF($A1559="","",$M1559-$L1559)</f>
        <v/>
      </c>
      <c r="O1559" s="4" t="n"/>
      <c r="P1559" s="15">
        <f>IF($A1559="","",DATE(YEAR($A1559),MONTH($A1559),1))</f>
        <v/>
      </c>
      <c r="Q1559" s="16">
        <f>IF($H1559="","",$J1559*IFERROR(INDEX('Settings'!$L$10:$L$39,MATCH($H1559,'Settings'!$I$10:$I$39,0)),0))</f>
        <v/>
      </c>
      <c r="R1559" s="17">
        <f>IF($A1559="","",$A1559-WEEKDAY($A1559,2)+1)</f>
        <v/>
      </c>
    </row>
    <row r="1560">
      <c r="A1560" s="5" t="n"/>
      <c r="B1560" s="4" t="n"/>
      <c r="C1560" s="4" t="n"/>
      <c r="D1560" s="4" t="n"/>
      <c r="E1560" s="4" t="n"/>
      <c r="F1560" s="4" t="n"/>
      <c r="G1560" s="4" t="n"/>
      <c r="H1560" s="4" t="n"/>
      <c r="I1560" s="9">
        <f>IF($H1560="","",IFERROR(INDEX('Settings'!$J$10:$J$39,MATCH($H1560,'Settings'!$I$10:$I$39,0)),""))</f>
        <v/>
      </c>
      <c r="J1560" s="6" t="n"/>
      <c r="K1560" s="8" t="n"/>
      <c r="L1560" s="8" t="n"/>
      <c r="M1560" s="14">
        <f>IF($A1560="","",$J1560*$K1560)</f>
        <v/>
      </c>
      <c r="N1560" s="14">
        <f>IF($A1560="","",$M1560-$L1560)</f>
        <v/>
      </c>
      <c r="O1560" s="4" t="n"/>
      <c r="P1560" s="15">
        <f>IF($A1560="","",DATE(YEAR($A1560),MONTH($A1560),1))</f>
        <v/>
      </c>
      <c r="Q1560" s="16">
        <f>IF($H1560="","",$J1560*IFERROR(INDEX('Settings'!$L$10:$L$39,MATCH($H1560,'Settings'!$I$10:$I$39,0)),0))</f>
        <v/>
      </c>
      <c r="R1560" s="17">
        <f>IF($A1560="","",$A1560-WEEKDAY($A1560,2)+1)</f>
        <v/>
      </c>
    </row>
    <row r="1561">
      <c r="A1561" s="5" t="n"/>
      <c r="B1561" s="4" t="n"/>
      <c r="C1561" s="4" t="n"/>
      <c r="D1561" s="4" t="n"/>
      <c r="E1561" s="4" t="n"/>
      <c r="F1561" s="4" t="n"/>
      <c r="G1561" s="4" t="n"/>
      <c r="H1561" s="4" t="n"/>
      <c r="I1561" s="9">
        <f>IF($H1561="","",IFERROR(INDEX('Settings'!$J$10:$J$39,MATCH($H1561,'Settings'!$I$10:$I$39,0)),""))</f>
        <v/>
      </c>
      <c r="J1561" s="6" t="n"/>
      <c r="K1561" s="8" t="n"/>
      <c r="L1561" s="8" t="n"/>
      <c r="M1561" s="14">
        <f>IF($A1561="","",$J1561*$K1561)</f>
        <v/>
      </c>
      <c r="N1561" s="14">
        <f>IF($A1561="","",$M1561-$L1561)</f>
        <v/>
      </c>
      <c r="O1561" s="4" t="n"/>
      <c r="P1561" s="15">
        <f>IF($A1561="","",DATE(YEAR($A1561),MONTH($A1561),1))</f>
        <v/>
      </c>
      <c r="Q1561" s="16">
        <f>IF($H1561="","",$J1561*IFERROR(INDEX('Settings'!$L$10:$L$39,MATCH($H1561,'Settings'!$I$10:$I$39,0)),0))</f>
        <v/>
      </c>
      <c r="R1561" s="17">
        <f>IF($A1561="","",$A1561-WEEKDAY($A1561,2)+1)</f>
        <v/>
      </c>
    </row>
    <row r="1562">
      <c r="A1562" s="5" t="n"/>
      <c r="B1562" s="4" t="n"/>
      <c r="C1562" s="4" t="n"/>
      <c r="D1562" s="4" t="n"/>
      <c r="E1562" s="4" t="n"/>
      <c r="F1562" s="4" t="n"/>
      <c r="G1562" s="4" t="n"/>
      <c r="H1562" s="4" t="n"/>
      <c r="I1562" s="9">
        <f>IF($H1562="","",IFERROR(INDEX('Settings'!$J$10:$J$39,MATCH($H1562,'Settings'!$I$10:$I$39,0)),""))</f>
        <v/>
      </c>
      <c r="J1562" s="6" t="n"/>
      <c r="K1562" s="8" t="n"/>
      <c r="L1562" s="8" t="n"/>
      <c r="M1562" s="14">
        <f>IF($A1562="","",$J1562*$K1562)</f>
        <v/>
      </c>
      <c r="N1562" s="14">
        <f>IF($A1562="","",$M1562-$L1562)</f>
        <v/>
      </c>
      <c r="O1562" s="4" t="n"/>
      <c r="P1562" s="15">
        <f>IF($A1562="","",DATE(YEAR($A1562),MONTH($A1562),1))</f>
        <v/>
      </c>
      <c r="Q1562" s="16">
        <f>IF($H1562="","",$J1562*IFERROR(INDEX('Settings'!$L$10:$L$39,MATCH($H1562,'Settings'!$I$10:$I$39,0)),0))</f>
        <v/>
      </c>
      <c r="R1562" s="17">
        <f>IF($A1562="","",$A1562-WEEKDAY($A1562,2)+1)</f>
        <v/>
      </c>
    </row>
    <row r="1563">
      <c r="A1563" s="5" t="n"/>
      <c r="B1563" s="4" t="n"/>
      <c r="C1563" s="4" t="n"/>
      <c r="D1563" s="4" t="n"/>
      <c r="E1563" s="4" t="n"/>
      <c r="F1563" s="4" t="n"/>
      <c r="G1563" s="4" t="n"/>
      <c r="H1563" s="4" t="n"/>
      <c r="I1563" s="9">
        <f>IF($H1563="","",IFERROR(INDEX('Settings'!$J$10:$J$39,MATCH($H1563,'Settings'!$I$10:$I$39,0)),""))</f>
        <v/>
      </c>
      <c r="J1563" s="6" t="n"/>
      <c r="K1563" s="8" t="n"/>
      <c r="L1563" s="8" t="n"/>
      <c r="M1563" s="14">
        <f>IF($A1563="","",$J1563*$K1563)</f>
        <v/>
      </c>
      <c r="N1563" s="14">
        <f>IF($A1563="","",$M1563-$L1563)</f>
        <v/>
      </c>
      <c r="O1563" s="4" t="n"/>
      <c r="P1563" s="15">
        <f>IF($A1563="","",DATE(YEAR($A1563),MONTH($A1563),1))</f>
        <v/>
      </c>
      <c r="Q1563" s="16">
        <f>IF($H1563="","",$J1563*IFERROR(INDEX('Settings'!$L$10:$L$39,MATCH($H1563,'Settings'!$I$10:$I$39,0)),0))</f>
        <v/>
      </c>
      <c r="R1563" s="17">
        <f>IF($A1563="","",$A1563-WEEKDAY($A1563,2)+1)</f>
        <v/>
      </c>
    </row>
    <row r="1564">
      <c r="A1564" s="5" t="n"/>
      <c r="B1564" s="4" t="n"/>
      <c r="C1564" s="4" t="n"/>
      <c r="D1564" s="4" t="n"/>
      <c r="E1564" s="4" t="n"/>
      <c r="F1564" s="4" t="n"/>
      <c r="G1564" s="4" t="n"/>
      <c r="H1564" s="4" t="n"/>
      <c r="I1564" s="9">
        <f>IF($H1564="","",IFERROR(INDEX('Settings'!$J$10:$J$39,MATCH($H1564,'Settings'!$I$10:$I$39,0)),""))</f>
        <v/>
      </c>
      <c r="J1564" s="6" t="n"/>
      <c r="K1564" s="8" t="n"/>
      <c r="L1564" s="8" t="n"/>
      <c r="M1564" s="14">
        <f>IF($A1564="","",$J1564*$K1564)</f>
        <v/>
      </c>
      <c r="N1564" s="14">
        <f>IF($A1564="","",$M1564-$L1564)</f>
        <v/>
      </c>
      <c r="O1564" s="4" t="n"/>
      <c r="P1564" s="15">
        <f>IF($A1564="","",DATE(YEAR($A1564),MONTH($A1564),1))</f>
        <v/>
      </c>
      <c r="Q1564" s="16">
        <f>IF($H1564="","",$J1564*IFERROR(INDEX('Settings'!$L$10:$L$39,MATCH($H1564,'Settings'!$I$10:$I$39,0)),0))</f>
        <v/>
      </c>
      <c r="R1564" s="17">
        <f>IF($A1564="","",$A1564-WEEKDAY($A1564,2)+1)</f>
        <v/>
      </c>
    </row>
    <row r="1565">
      <c r="A1565" s="5" t="n"/>
      <c r="B1565" s="4" t="n"/>
      <c r="C1565" s="4" t="n"/>
      <c r="D1565" s="4" t="n"/>
      <c r="E1565" s="4" t="n"/>
      <c r="F1565" s="4" t="n"/>
      <c r="G1565" s="4" t="n"/>
      <c r="H1565" s="4" t="n"/>
      <c r="I1565" s="9">
        <f>IF($H1565="","",IFERROR(INDEX('Settings'!$J$10:$J$39,MATCH($H1565,'Settings'!$I$10:$I$39,0)),""))</f>
        <v/>
      </c>
      <c r="J1565" s="6" t="n"/>
      <c r="K1565" s="8" t="n"/>
      <c r="L1565" s="8" t="n"/>
      <c r="M1565" s="14">
        <f>IF($A1565="","",$J1565*$K1565)</f>
        <v/>
      </c>
      <c r="N1565" s="14">
        <f>IF($A1565="","",$M1565-$L1565)</f>
        <v/>
      </c>
      <c r="O1565" s="4" t="n"/>
      <c r="P1565" s="15">
        <f>IF($A1565="","",DATE(YEAR($A1565),MONTH($A1565),1))</f>
        <v/>
      </c>
      <c r="Q1565" s="16">
        <f>IF($H1565="","",$J1565*IFERROR(INDEX('Settings'!$L$10:$L$39,MATCH($H1565,'Settings'!$I$10:$I$39,0)),0))</f>
        <v/>
      </c>
      <c r="R1565" s="17">
        <f>IF($A1565="","",$A1565-WEEKDAY($A1565,2)+1)</f>
        <v/>
      </c>
    </row>
    <row r="1566">
      <c r="A1566" s="5" t="n"/>
      <c r="B1566" s="4" t="n"/>
      <c r="C1566" s="4" t="n"/>
      <c r="D1566" s="4" t="n"/>
      <c r="E1566" s="4" t="n"/>
      <c r="F1566" s="4" t="n"/>
      <c r="G1566" s="4" t="n"/>
      <c r="H1566" s="4" t="n"/>
      <c r="I1566" s="9">
        <f>IF($H1566="","",IFERROR(INDEX('Settings'!$J$10:$J$39,MATCH($H1566,'Settings'!$I$10:$I$39,0)),""))</f>
        <v/>
      </c>
      <c r="J1566" s="6" t="n"/>
      <c r="K1566" s="8" t="n"/>
      <c r="L1566" s="8" t="n"/>
      <c r="M1566" s="14">
        <f>IF($A1566="","",$J1566*$K1566)</f>
        <v/>
      </c>
      <c r="N1566" s="14">
        <f>IF($A1566="","",$M1566-$L1566)</f>
        <v/>
      </c>
      <c r="O1566" s="4" t="n"/>
      <c r="P1566" s="15">
        <f>IF($A1566="","",DATE(YEAR($A1566),MONTH($A1566),1))</f>
        <v/>
      </c>
      <c r="Q1566" s="16">
        <f>IF($H1566="","",$J1566*IFERROR(INDEX('Settings'!$L$10:$L$39,MATCH($H1566,'Settings'!$I$10:$I$39,0)),0))</f>
        <v/>
      </c>
      <c r="R1566" s="17">
        <f>IF($A1566="","",$A1566-WEEKDAY($A1566,2)+1)</f>
        <v/>
      </c>
    </row>
    <row r="1567">
      <c r="A1567" s="5" t="n"/>
      <c r="B1567" s="4" t="n"/>
      <c r="C1567" s="4" t="n"/>
      <c r="D1567" s="4" t="n"/>
      <c r="E1567" s="4" t="n"/>
      <c r="F1567" s="4" t="n"/>
      <c r="G1567" s="4" t="n"/>
      <c r="H1567" s="4" t="n"/>
      <c r="I1567" s="9">
        <f>IF($H1567="","",IFERROR(INDEX('Settings'!$J$10:$J$39,MATCH($H1567,'Settings'!$I$10:$I$39,0)),""))</f>
        <v/>
      </c>
      <c r="J1567" s="6" t="n"/>
      <c r="K1567" s="8" t="n"/>
      <c r="L1567" s="8" t="n"/>
      <c r="M1567" s="14">
        <f>IF($A1567="","",$J1567*$K1567)</f>
        <v/>
      </c>
      <c r="N1567" s="14">
        <f>IF($A1567="","",$M1567-$L1567)</f>
        <v/>
      </c>
      <c r="O1567" s="4" t="n"/>
      <c r="P1567" s="15">
        <f>IF($A1567="","",DATE(YEAR($A1567),MONTH($A1567),1))</f>
        <v/>
      </c>
      <c r="Q1567" s="16">
        <f>IF($H1567="","",$J1567*IFERROR(INDEX('Settings'!$L$10:$L$39,MATCH($H1567,'Settings'!$I$10:$I$39,0)),0))</f>
        <v/>
      </c>
      <c r="R1567" s="17">
        <f>IF($A1567="","",$A1567-WEEKDAY($A1567,2)+1)</f>
        <v/>
      </c>
    </row>
    <row r="1568">
      <c r="A1568" s="5" t="n"/>
      <c r="B1568" s="4" t="n"/>
      <c r="C1568" s="4" t="n"/>
      <c r="D1568" s="4" t="n"/>
      <c r="E1568" s="4" t="n"/>
      <c r="F1568" s="4" t="n"/>
      <c r="G1568" s="4" t="n"/>
      <c r="H1568" s="4" t="n"/>
      <c r="I1568" s="9">
        <f>IF($H1568="","",IFERROR(INDEX('Settings'!$J$10:$J$39,MATCH($H1568,'Settings'!$I$10:$I$39,0)),""))</f>
        <v/>
      </c>
      <c r="J1568" s="6" t="n"/>
      <c r="K1568" s="8" t="n"/>
      <c r="L1568" s="8" t="n"/>
      <c r="M1568" s="14">
        <f>IF($A1568="","",$J1568*$K1568)</f>
        <v/>
      </c>
      <c r="N1568" s="14">
        <f>IF($A1568="","",$M1568-$L1568)</f>
        <v/>
      </c>
      <c r="O1568" s="4" t="n"/>
      <c r="P1568" s="15">
        <f>IF($A1568="","",DATE(YEAR($A1568),MONTH($A1568),1))</f>
        <v/>
      </c>
      <c r="Q1568" s="16">
        <f>IF($H1568="","",$J1568*IFERROR(INDEX('Settings'!$L$10:$L$39,MATCH($H1568,'Settings'!$I$10:$I$39,0)),0))</f>
        <v/>
      </c>
      <c r="R1568" s="17">
        <f>IF($A1568="","",$A1568-WEEKDAY($A1568,2)+1)</f>
        <v/>
      </c>
    </row>
    <row r="1569">
      <c r="A1569" s="5" t="n"/>
      <c r="B1569" s="4" t="n"/>
      <c r="C1569" s="4" t="n"/>
      <c r="D1569" s="4" t="n"/>
      <c r="E1569" s="4" t="n"/>
      <c r="F1569" s="4" t="n"/>
      <c r="G1569" s="4" t="n"/>
      <c r="H1569" s="4" t="n"/>
      <c r="I1569" s="9">
        <f>IF($H1569="","",IFERROR(INDEX('Settings'!$J$10:$J$39,MATCH($H1569,'Settings'!$I$10:$I$39,0)),""))</f>
        <v/>
      </c>
      <c r="J1569" s="6" t="n"/>
      <c r="K1569" s="8" t="n"/>
      <c r="L1569" s="8" t="n"/>
      <c r="M1569" s="14">
        <f>IF($A1569="","",$J1569*$K1569)</f>
        <v/>
      </c>
      <c r="N1569" s="14">
        <f>IF($A1569="","",$M1569-$L1569)</f>
        <v/>
      </c>
      <c r="O1569" s="4" t="n"/>
      <c r="P1569" s="15">
        <f>IF($A1569="","",DATE(YEAR($A1569),MONTH($A1569),1))</f>
        <v/>
      </c>
      <c r="Q1569" s="16">
        <f>IF($H1569="","",$J1569*IFERROR(INDEX('Settings'!$L$10:$L$39,MATCH($H1569,'Settings'!$I$10:$I$39,0)),0))</f>
        <v/>
      </c>
      <c r="R1569" s="17">
        <f>IF($A1569="","",$A1569-WEEKDAY($A1569,2)+1)</f>
        <v/>
      </c>
    </row>
    <row r="1570">
      <c r="A1570" s="5" t="n"/>
      <c r="B1570" s="4" t="n"/>
      <c r="C1570" s="4" t="n"/>
      <c r="D1570" s="4" t="n"/>
      <c r="E1570" s="4" t="n"/>
      <c r="F1570" s="4" t="n"/>
      <c r="G1570" s="4" t="n"/>
      <c r="H1570" s="4" t="n"/>
      <c r="I1570" s="9">
        <f>IF($H1570="","",IFERROR(INDEX('Settings'!$J$10:$J$39,MATCH($H1570,'Settings'!$I$10:$I$39,0)),""))</f>
        <v/>
      </c>
      <c r="J1570" s="6" t="n"/>
      <c r="K1570" s="8" t="n"/>
      <c r="L1570" s="8" t="n"/>
      <c r="M1570" s="14">
        <f>IF($A1570="","",$J1570*$K1570)</f>
        <v/>
      </c>
      <c r="N1570" s="14">
        <f>IF($A1570="","",$M1570-$L1570)</f>
        <v/>
      </c>
      <c r="O1570" s="4" t="n"/>
      <c r="P1570" s="15">
        <f>IF($A1570="","",DATE(YEAR($A1570),MONTH($A1570),1))</f>
        <v/>
      </c>
      <c r="Q1570" s="16">
        <f>IF($H1570="","",$J1570*IFERROR(INDEX('Settings'!$L$10:$L$39,MATCH($H1570,'Settings'!$I$10:$I$39,0)),0))</f>
        <v/>
      </c>
      <c r="R1570" s="17">
        <f>IF($A1570="","",$A1570-WEEKDAY($A1570,2)+1)</f>
        <v/>
      </c>
    </row>
    <row r="1571">
      <c r="A1571" s="5" t="n"/>
      <c r="B1571" s="4" t="n"/>
      <c r="C1571" s="4" t="n"/>
      <c r="D1571" s="4" t="n"/>
      <c r="E1571" s="4" t="n"/>
      <c r="F1571" s="4" t="n"/>
      <c r="G1571" s="4" t="n"/>
      <c r="H1571" s="4" t="n"/>
      <c r="I1571" s="9">
        <f>IF($H1571="","",IFERROR(INDEX('Settings'!$J$10:$J$39,MATCH($H1571,'Settings'!$I$10:$I$39,0)),""))</f>
        <v/>
      </c>
      <c r="J1571" s="6" t="n"/>
      <c r="K1571" s="8" t="n"/>
      <c r="L1571" s="8" t="n"/>
      <c r="M1571" s="14">
        <f>IF($A1571="","",$J1571*$K1571)</f>
        <v/>
      </c>
      <c r="N1571" s="14">
        <f>IF($A1571="","",$M1571-$L1571)</f>
        <v/>
      </c>
      <c r="O1571" s="4" t="n"/>
      <c r="P1571" s="15">
        <f>IF($A1571="","",DATE(YEAR($A1571),MONTH($A1571),1))</f>
        <v/>
      </c>
      <c r="Q1571" s="16">
        <f>IF($H1571="","",$J1571*IFERROR(INDEX('Settings'!$L$10:$L$39,MATCH($H1571,'Settings'!$I$10:$I$39,0)),0))</f>
        <v/>
      </c>
      <c r="R1571" s="17">
        <f>IF($A1571="","",$A1571-WEEKDAY($A1571,2)+1)</f>
        <v/>
      </c>
    </row>
    <row r="1572">
      <c r="A1572" s="5" t="n"/>
      <c r="B1572" s="4" t="n"/>
      <c r="C1572" s="4" t="n"/>
      <c r="D1572" s="4" t="n"/>
      <c r="E1572" s="4" t="n"/>
      <c r="F1572" s="4" t="n"/>
      <c r="G1572" s="4" t="n"/>
      <c r="H1572" s="4" t="n"/>
      <c r="I1572" s="9">
        <f>IF($H1572="","",IFERROR(INDEX('Settings'!$J$10:$J$39,MATCH($H1572,'Settings'!$I$10:$I$39,0)),""))</f>
        <v/>
      </c>
      <c r="J1572" s="6" t="n"/>
      <c r="K1572" s="8" t="n"/>
      <c r="L1572" s="8" t="n"/>
      <c r="M1572" s="14">
        <f>IF($A1572="","",$J1572*$K1572)</f>
        <v/>
      </c>
      <c r="N1572" s="14">
        <f>IF($A1572="","",$M1572-$L1572)</f>
        <v/>
      </c>
      <c r="O1572" s="4" t="n"/>
      <c r="P1572" s="15">
        <f>IF($A1572="","",DATE(YEAR($A1572),MONTH($A1572),1))</f>
        <v/>
      </c>
      <c r="Q1572" s="16">
        <f>IF($H1572="","",$J1572*IFERROR(INDEX('Settings'!$L$10:$L$39,MATCH($H1572,'Settings'!$I$10:$I$39,0)),0))</f>
        <v/>
      </c>
      <c r="R1572" s="17">
        <f>IF($A1572="","",$A1572-WEEKDAY($A1572,2)+1)</f>
        <v/>
      </c>
    </row>
    <row r="1573">
      <c r="A1573" s="5" t="n"/>
      <c r="B1573" s="4" t="n"/>
      <c r="C1573" s="4" t="n"/>
      <c r="D1573" s="4" t="n"/>
      <c r="E1573" s="4" t="n"/>
      <c r="F1573" s="4" t="n"/>
      <c r="G1573" s="4" t="n"/>
      <c r="H1573" s="4" t="n"/>
      <c r="I1573" s="9">
        <f>IF($H1573="","",IFERROR(INDEX('Settings'!$J$10:$J$39,MATCH($H1573,'Settings'!$I$10:$I$39,0)),""))</f>
        <v/>
      </c>
      <c r="J1573" s="6" t="n"/>
      <c r="K1573" s="8" t="n"/>
      <c r="L1573" s="8" t="n"/>
      <c r="M1573" s="14">
        <f>IF($A1573="","",$J1573*$K1573)</f>
        <v/>
      </c>
      <c r="N1573" s="14">
        <f>IF($A1573="","",$M1573-$L1573)</f>
        <v/>
      </c>
      <c r="O1573" s="4" t="n"/>
      <c r="P1573" s="15">
        <f>IF($A1573="","",DATE(YEAR($A1573),MONTH($A1573),1))</f>
        <v/>
      </c>
      <c r="Q1573" s="16">
        <f>IF($H1573="","",$J1573*IFERROR(INDEX('Settings'!$L$10:$L$39,MATCH($H1573,'Settings'!$I$10:$I$39,0)),0))</f>
        <v/>
      </c>
      <c r="R1573" s="17">
        <f>IF($A1573="","",$A1573-WEEKDAY($A1573,2)+1)</f>
        <v/>
      </c>
    </row>
    <row r="1574">
      <c r="A1574" s="5" t="n"/>
      <c r="B1574" s="4" t="n"/>
      <c r="C1574" s="4" t="n"/>
      <c r="D1574" s="4" t="n"/>
      <c r="E1574" s="4" t="n"/>
      <c r="F1574" s="4" t="n"/>
      <c r="G1574" s="4" t="n"/>
      <c r="H1574" s="4" t="n"/>
      <c r="I1574" s="9">
        <f>IF($H1574="","",IFERROR(INDEX('Settings'!$J$10:$J$39,MATCH($H1574,'Settings'!$I$10:$I$39,0)),""))</f>
        <v/>
      </c>
      <c r="J1574" s="6" t="n"/>
      <c r="K1574" s="8" t="n"/>
      <c r="L1574" s="8" t="n"/>
      <c r="M1574" s="14">
        <f>IF($A1574="","",$J1574*$K1574)</f>
        <v/>
      </c>
      <c r="N1574" s="14">
        <f>IF($A1574="","",$M1574-$L1574)</f>
        <v/>
      </c>
      <c r="O1574" s="4" t="n"/>
      <c r="P1574" s="15">
        <f>IF($A1574="","",DATE(YEAR($A1574),MONTH($A1574),1))</f>
        <v/>
      </c>
      <c r="Q1574" s="16">
        <f>IF($H1574="","",$J1574*IFERROR(INDEX('Settings'!$L$10:$L$39,MATCH($H1574,'Settings'!$I$10:$I$39,0)),0))</f>
        <v/>
      </c>
      <c r="R1574" s="17">
        <f>IF($A1574="","",$A1574-WEEKDAY($A1574,2)+1)</f>
        <v/>
      </c>
    </row>
    <row r="1575">
      <c r="A1575" s="5" t="n"/>
      <c r="B1575" s="4" t="n"/>
      <c r="C1575" s="4" t="n"/>
      <c r="D1575" s="4" t="n"/>
      <c r="E1575" s="4" t="n"/>
      <c r="F1575" s="4" t="n"/>
      <c r="G1575" s="4" t="n"/>
      <c r="H1575" s="4" t="n"/>
      <c r="I1575" s="9">
        <f>IF($H1575="","",IFERROR(INDEX('Settings'!$J$10:$J$39,MATCH($H1575,'Settings'!$I$10:$I$39,0)),""))</f>
        <v/>
      </c>
      <c r="J1575" s="6" t="n"/>
      <c r="K1575" s="8" t="n"/>
      <c r="L1575" s="8" t="n"/>
      <c r="M1575" s="14">
        <f>IF($A1575="","",$J1575*$K1575)</f>
        <v/>
      </c>
      <c r="N1575" s="14">
        <f>IF($A1575="","",$M1575-$L1575)</f>
        <v/>
      </c>
      <c r="O1575" s="4" t="n"/>
      <c r="P1575" s="15">
        <f>IF($A1575="","",DATE(YEAR($A1575),MONTH($A1575),1))</f>
        <v/>
      </c>
      <c r="Q1575" s="16">
        <f>IF($H1575="","",$J1575*IFERROR(INDEX('Settings'!$L$10:$L$39,MATCH($H1575,'Settings'!$I$10:$I$39,0)),0))</f>
        <v/>
      </c>
      <c r="R1575" s="17">
        <f>IF($A1575="","",$A1575-WEEKDAY($A1575,2)+1)</f>
        <v/>
      </c>
    </row>
    <row r="1576">
      <c r="A1576" s="5" t="n"/>
      <c r="B1576" s="4" t="n"/>
      <c r="C1576" s="4" t="n"/>
      <c r="D1576" s="4" t="n"/>
      <c r="E1576" s="4" t="n"/>
      <c r="F1576" s="4" t="n"/>
      <c r="G1576" s="4" t="n"/>
      <c r="H1576" s="4" t="n"/>
      <c r="I1576" s="9">
        <f>IF($H1576="","",IFERROR(INDEX('Settings'!$J$10:$J$39,MATCH($H1576,'Settings'!$I$10:$I$39,0)),""))</f>
        <v/>
      </c>
      <c r="J1576" s="6" t="n"/>
      <c r="K1576" s="8" t="n"/>
      <c r="L1576" s="8" t="n"/>
      <c r="M1576" s="14">
        <f>IF($A1576="","",$J1576*$K1576)</f>
        <v/>
      </c>
      <c r="N1576" s="14">
        <f>IF($A1576="","",$M1576-$L1576)</f>
        <v/>
      </c>
      <c r="O1576" s="4" t="n"/>
      <c r="P1576" s="15">
        <f>IF($A1576="","",DATE(YEAR($A1576),MONTH($A1576),1))</f>
        <v/>
      </c>
      <c r="Q1576" s="16">
        <f>IF($H1576="","",$J1576*IFERROR(INDEX('Settings'!$L$10:$L$39,MATCH($H1576,'Settings'!$I$10:$I$39,0)),0))</f>
        <v/>
      </c>
      <c r="R1576" s="17">
        <f>IF($A1576="","",$A1576-WEEKDAY($A1576,2)+1)</f>
        <v/>
      </c>
    </row>
    <row r="1577">
      <c r="A1577" s="5" t="n"/>
      <c r="B1577" s="4" t="n"/>
      <c r="C1577" s="4" t="n"/>
      <c r="D1577" s="4" t="n"/>
      <c r="E1577" s="4" t="n"/>
      <c r="F1577" s="4" t="n"/>
      <c r="G1577" s="4" t="n"/>
      <c r="H1577" s="4" t="n"/>
      <c r="I1577" s="9">
        <f>IF($H1577="","",IFERROR(INDEX('Settings'!$J$10:$J$39,MATCH($H1577,'Settings'!$I$10:$I$39,0)),""))</f>
        <v/>
      </c>
      <c r="J1577" s="6" t="n"/>
      <c r="K1577" s="8" t="n"/>
      <c r="L1577" s="8" t="n"/>
      <c r="M1577" s="14">
        <f>IF($A1577="","",$J1577*$K1577)</f>
        <v/>
      </c>
      <c r="N1577" s="14">
        <f>IF($A1577="","",$M1577-$L1577)</f>
        <v/>
      </c>
      <c r="O1577" s="4" t="n"/>
      <c r="P1577" s="15">
        <f>IF($A1577="","",DATE(YEAR($A1577),MONTH($A1577),1))</f>
        <v/>
      </c>
      <c r="Q1577" s="16">
        <f>IF($H1577="","",$J1577*IFERROR(INDEX('Settings'!$L$10:$L$39,MATCH($H1577,'Settings'!$I$10:$I$39,0)),0))</f>
        <v/>
      </c>
      <c r="R1577" s="17">
        <f>IF($A1577="","",$A1577-WEEKDAY($A1577,2)+1)</f>
        <v/>
      </c>
    </row>
    <row r="1578">
      <c r="A1578" s="5" t="n"/>
      <c r="B1578" s="4" t="n"/>
      <c r="C1578" s="4" t="n"/>
      <c r="D1578" s="4" t="n"/>
      <c r="E1578" s="4" t="n"/>
      <c r="F1578" s="4" t="n"/>
      <c r="G1578" s="4" t="n"/>
      <c r="H1578" s="4" t="n"/>
      <c r="I1578" s="9">
        <f>IF($H1578="","",IFERROR(INDEX('Settings'!$J$10:$J$39,MATCH($H1578,'Settings'!$I$10:$I$39,0)),""))</f>
        <v/>
      </c>
      <c r="J1578" s="6" t="n"/>
      <c r="K1578" s="8" t="n"/>
      <c r="L1578" s="8" t="n"/>
      <c r="M1578" s="14">
        <f>IF($A1578="","",$J1578*$K1578)</f>
        <v/>
      </c>
      <c r="N1578" s="14">
        <f>IF($A1578="","",$M1578-$L1578)</f>
        <v/>
      </c>
      <c r="O1578" s="4" t="n"/>
      <c r="P1578" s="15">
        <f>IF($A1578="","",DATE(YEAR($A1578),MONTH($A1578),1))</f>
        <v/>
      </c>
      <c r="Q1578" s="16">
        <f>IF($H1578="","",$J1578*IFERROR(INDEX('Settings'!$L$10:$L$39,MATCH($H1578,'Settings'!$I$10:$I$39,0)),0))</f>
        <v/>
      </c>
      <c r="R1578" s="17">
        <f>IF($A1578="","",$A1578-WEEKDAY($A1578,2)+1)</f>
        <v/>
      </c>
    </row>
    <row r="1579">
      <c r="A1579" s="5" t="n"/>
      <c r="B1579" s="4" t="n"/>
      <c r="C1579" s="4" t="n"/>
      <c r="D1579" s="4" t="n"/>
      <c r="E1579" s="4" t="n"/>
      <c r="F1579" s="4" t="n"/>
      <c r="G1579" s="4" t="n"/>
      <c r="H1579" s="4" t="n"/>
      <c r="I1579" s="9">
        <f>IF($H1579="","",IFERROR(INDEX('Settings'!$J$10:$J$39,MATCH($H1579,'Settings'!$I$10:$I$39,0)),""))</f>
        <v/>
      </c>
      <c r="J1579" s="6" t="n"/>
      <c r="K1579" s="8" t="n"/>
      <c r="L1579" s="8" t="n"/>
      <c r="M1579" s="14">
        <f>IF($A1579="","",$J1579*$K1579)</f>
        <v/>
      </c>
      <c r="N1579" s="14">
        <f>IF($A1579="","",$M1579-$L1579)</f>
        <v/>
      </c>
      <c r="O1579" s="4" t="n"/>
      <c r="P1579" s="15">
        <f>IF($A1579="","",DATE(YEAR($A1579),MONTH($A1579),1))</f>
        <v/>
      </c>
      <c r="Q1579" s="16">
        <f>IF($H1579="","",$J1579*IFERROR(INDEX('Settings'!$L$10:$L$39,MATCH($H1579,'Settings'!$I$10:$I$39,0)),0))</f>
        <v/>
      </c>
      <c r="R1579" s="17">
        <f>IF($A1579="","",$A1579-WEEKDAY($A1579,2)+1)</f>
        <v/>
      </c>
    </row>
    <row r="1580">
      <c r="A1580" s="5" t="n"/>
      <c r="B1580" s="4" t="n"/>
      <c r="C1580" s="4" t="n"/>
      <c r="D1580" s="4" t="n"/>
      <c r="E1580" s="4" t="n"/>
      <c r="F1580" s="4" t="n"/>
      <c r="G1580" s="4" t="n"/>
      <c r="H1580" s="4" t="n"/>
      <c r="I1580" s="9">
        <f>IF($H1580="","",IFERROR(INDEX('Settings'!$J$10:$J$39,MATCH($H1580,'Settings'!$I$10:$I$39,0)),""))</f>
        <v/>
      </c>
      <c r="J1580" s="6" t="n"/>
      <c r="K1580" s="8" t="n"/>
      <c r="L1580" s="8" t="n"/>
      <c r="M1580" s="14">
        <f>IF($A1580="","",$J1580*$K1580)</f>
        <v/>
      </c>
      <c r="N1580" s="14">
        <f>IF($A1580="","",$M1580-$L1580)</f>
        <v/>
      </c>
      <c r="O1580" s="4" t="n"/>
      <c r="P1580" s="15">
        <f>IF($A1580="","",DATE(YEAR($A1580),MONTH($A1580),1))</f>
        <v/>
      </c>
      <c r="Q1580" s="16">
        <f>IF($H1580="","",$J1580*IFERROR(INDEX('Settings'!$L$10:$L$39,MATCH($H1580,'Settings'!$I$10:$I$39,0)),0))</f>
        <v/>
      </c>
      <c r="R1580" s="17">
        <f>IF($A1580="","",$A1580-WEEKDAY($A1580,2)+1)</f>
        <v/>
      </c>
    </row>
    <row r="1581">
      <c r="A1581" s="5" t="n"/>
      <c r="B1581" s="4" t="n"/>
      <c r="C1581" s="4" t="n"/>
      <c r="D1581" s="4" t="n"/>
      <c r="E1581" s="4" t="n"/>
      <c r="F1581" s="4" t="n"/>
      <c r="G1581" s="4" t="n"/>
      <c r="H1581" s="4" t="n"/>
      <c r="I1581" s="9">
        <f>IF($H1581="","",IFERROR(INDEX('Settings'!$J$10:$J$39,MATCH($H1581,'Settings'!$I$10:$I$39,0)),""))</f>
        <v/>
      </c>
      <c r="J1581" s="6" t="n"/>
      <c r="K1581" s="8" t="n"/>
      <c r="L1581" s="8" t="n"/>
      <c r="M1581" s="14">
        <f>IF($A1581="","",$J1581*$K1581)</f>
        <v/>
      </c>
      <c r="N1581" s="14">
        <f>IF($A1581="","",$M1581-$L1581)</f>
        <v/>
      </c>
      <c r="O1581" s="4" t="n"/>
      <c r="P1581" s="15">
        <f>IF($A1581="","",DATE(YEAR($A1581),MONTH($A1581),1))</f>
        <v/>
      </c>
      <c r="Q1581" s="16">
        <f>IF($H1581="","",$J1581*IFERROR(INDEX('Settings'!$L$10:$L$39,MATCH($H1581,'Settings'!$I$10:$I$39,0)),0))</f>
        <v/>
      </c>
      <c r="R1581" s="17">
        <f>IF($A1581="","",$A1581-WEEKDAY($A1581,2)+1)</f>
        <v/>
      </c>
    </row>
    <row r="1582">
      <c r="A1582" s="5" t="n"/>
      <c r="B1582" s="4" t="n"/>
      <c r="C1582" s="4" t="n"/>
      <c r="D1582" s="4" t="n"/>
      <c r="E1582" s="4" t="n"/>
      <c r="F1582" s="4" t="n"/>
      <c r="G1582" s="4" t="n"/>
      <c r="H1582" s="4" t="n"/>
      <c r="I1582" s="9">
        <f>IF($H1582="","",IFERROR(INDEX('Settings'!$J$10:$J$39,MATCH($H1582,'Settings'!$I$10:$I$39,0)),""))</f>
        <v/>
      </c>
      <c r="J1582" s="6" t="n"/>
      <c r="K1582" s="8" t="n"/>
      <c r="L1582" s="8" t="n"/>
      <c r="M1582" s="14">
        <f>IF($A1582="","",$J1582*$K1582)</f>
        <v/>
      </c>
      <c r="N1582" s="14">
        <f>IF($A1582="","",$M1582-$L1582)</f>
        <v/>
      </c>
      <c r="O1582" s="4" t="n"/>
      <c r="P1582" s="15">
        <f>IF($A1582="","",DATE(YEAR($A1582),MONTH($A1582),1))</f>
        <v/>
      </c>
      <c r="Q1582" s="16">
        <f>IF($H1582="","",$J1582*IFERROR(INDEX('Settings'!$L$10:$L$39,MATCH($H1582,'Settings'!$I$10:$I$39,0)),0))</f>
        <v/>
      </c>
      <c r="R1582" s="17">
        <f>IF($A1582="","",$A1582-WEEKDAY($A1582,2)+1)</f>
        <v/>
      </c>
    </row>
    <row r="1583">
      <c r="A1583" s="5" t="n"/>
      <c r="B1583" s="4" t="n"/>
      <c r="C1583" s="4" t="n"/>
      <c r="D1583" s="4" t="n"/>
      <c r="E1583" s="4" t="n"/>
      <c r="F1583" s="4" t="n"/>
      <c r="G1583" s="4" t="n"/>
      <c r="H1583" s="4" t="n"/>
      <c r="I1583" s="9">
        <f>IF($H1583="","",IFERROR(INDEX('Settings'!$J$10:$J$39,MATCH($H1583,'Settings'!$I$10:$I$39,0)),""))</f>
        <v/>
      </c>
      <c r="J1583" s="6" t="n"/>
      <c r="K1583" s="8" t="n"/>
      <c r="L1583" s="8" t="n"/>
      <c r="M1583" s="14">
        <f>IF($A1583="","",$J1583*$K1583)</f>
        <v/>
      </c>
      <c r="N1583" s="14">
        <f>IF($A1583="","",$M1583-$L1583)</f>
        <v/>
      </c>
      <c r="O1583" s="4" t="n"/>
      <c r="P1583" s="15">
        <f>IF($A1583="","",DATE(YEAR($A1583),MONTH($A1583),1))</f>
        <v/>
      </c>
      <c r="Q1583" s="16">
        <f>IF($H1583="","",$J1583*IFERROR(INDEX('Settings'!$L$10:$L$39,MATCH($H1583,'Settings'!$I$10:$I$39,0)),0))</f>
        <v/>
      </c>
      <c r="R1583" s="17">
        <f>IF($A1583="","",$A1583-WEEKDAY($A1583,2)+1)</f>
        <v/>
      </c>
    </row>
    <row r="1584">
      <c r="A1584" s="5" t="n"/>
      <c r="B1584" s="4" t="n"/>
      <c r="C1584" s="4" t="n"/>
      <c r="D1584" s="4" t="n"/>
      <c r="E1584" s="4" t="n"/>
      <c r="F1584" s="4" t="n"/>
      <c r="G1584" s="4" t="n"/>
      <c r="H1584" s="4" t="n"/>
      <c r="I1584" s="9">
        <f>IF($H1584="","",IFERROR(INDEX('Settings'!$J$10:$J$39,MATCH($H1584,'Settings'!$I$10:$I$39,0)),""))</f>
        <v/>
      </c>
      <c r="J1584" s="6" t="n"/>
      <c r="K1584" s="8" t="n"/>
      <c r="L1584" s="8" t="n"/>
      <c r="M1584" s="14">
        <f>IF($A1584="","",$J1584*$K1584)</f>
        <v/>
      </c>
      <c r="N1584" s="14">
        <f>IF($A1584="","",$M1584-$L1584)</f>
        <v/>
      </c>
      <c r="O1584" s="4" t="n"/>
      <c r="P1584" s="15">
        <f>IF($A1584="","",DATE(YEAR($A1584),MONTH($A1584),1))</f>
        <v/>
      </c>
      <c r="Q1584" s="16">
        <f>IF($H1584="","",$J1584*IFERROR(INDEX('Settings'!$L$10:$L$39,MATCH($H1584,'Settings'!$I$10:$I$39,0)),0))</f>
        <v/>
      </c>
      <c r="R1584" s="17">
        <f>IF($A1584="","",$A1584-WEEKDAY($A1584,2)+1)</f>
        <v/>
      </c>
    </row>
    <row r="1585">
      <c r="A1585" s="5" t="n"/>
      <c r="B1585" s="4" t="n"/>
      <c r="C1585" s="4" t="n"/>
      <c r="D1585" s="4" t="n"/>
      <c r="E1585" s="4" t="n"/>
      <c r="F1585" s="4" t="n"/>
      <c r="G1585" s="4" t="n"/>
      <c r="H1585" s="4" t="n"/>
      <c r="I1585" s="9">
        <f>IF($H1585="","",IFERROR(INDEX('Settings'!$J$10:$J$39,MATCH($H1585,'Settings'!$I$10:$I$39,0)),""))</f>
        <v/>
      </c>
      <c r="J1585" s="6" t="n"/>
      <c r="K1585" s="8" t="n"/>
      <c r="L1585" s="8" t="n"/>
      <c r="M1585" s="14">
        <f>IF($A1585="","",$J1585*$K1585)</f>
        <v/>
      </c>
      <c r="N1585" s="14">
        <f>IF($A1585="","",$M1585-$L1585)</f>
        <v/>
      </c>
      <c r="O1585" s="4" t="n"/>
      <c r="P1585" s="15">
        <f>IF($A1585="","",DATE(YEAR($A1585),MONTH($A1585),1))</f>
        <v/>
      </c>
      <c r="Q1585" s="16">
        <f>IF($H1585="","",$J1585*IFERROR(INDEX('Settings'!$L$10:$L$39,MATCH($H1585,'Settings'!$I$10:$I$39,0)),0))</f>
        <v/>
      </c>
      <c r="R1585" s="17">
        <f>IF($A1585="","",$A1585-WEEKDAY($A1585,2)+1)</f>
        <v/>
      </c>
    </row>
    <row r="1586">
      <c r="A1586" s="5" t="n"/>
      <c r="B1586" s="4" t="n"/>
      <c r="C1586" s="4" t="n"/>
      <c r="D1586" s="4" t="n"/>
      <c r="E1586" s="4" t="n"/>
      <c r="F1586" s="4" t="n"/>
      <c r="G1586" s="4" t="n"/>
      <c r="H1586" s="4" t="n"/>
      <c r="I1586" s="9">
        <f>IF($H1586="","",IFERROR(INDEX('Settings'!$J$10:$J$39,MATCH($H1586,'Settings'!$I$10:$I$39,0)),""))</f>
        <v/>
      </c>
      <c r="J1586" s="6" t="n"/>
      <c r="K1586" s="8" t="n"/>
      <c r="L1586" s="8" t="n"/>
      <c r="M1586" s="14">
        <f>IF($A1586="","",$J1586*$K1586)</f>
        <v/>
      </c>
      <c r="N1586" s="14">
        <f>IF($A1586="","",$M1586-$L1586)</f>
        <v/>
      </c>
      <c r="O1586" s="4" t="n"/>
      <c r="P1586" s="15">
        <f>IF($A1586="","",DATE(YEAR($A1586),MONTH($A1586),1))</f>
        <v/>
      </c>
      <c r="Q1586" s="16">
        <f>IF($H1586="","",$J1586*IFERROR(INDEX('Settings'!$L$10:$L$39,MATCH($H1586,'Settings'!$I$10:$I$39,0)),0))</f>
        <v/>
      </c>
      <c r="R1586" s="17">
        <f>IF($A1586="","",$A1586-WEEKDAY($A1586,2)+1)</f>
        <v/>
      </c>
    </row>
    <row r="1587">
      <c r="A1587" s="5" t="n"/>
      <c r="B1587" s="4" t="n"/>
      <c r="C1587" s="4" t="n"/>
      <c r="D1587" s="4" t="n"/>
      <c r="E1587" s="4" t="n"/>
      <c r="F1587" s="4" t="n"/>
      <c r="G1587" s="4" t="n"/>
      <c r="H1587" s="4" t="n"/>
      <c r="I1587" s="9">
        <f>IF($H1587="","",IFERROR(INDEX('Settings'!$J$10:$J$39,MATCH($H1587,'Settings'!$I$10:$I$39,0)),""))</f>
        <v/>
      </c>
      <c r="J1587" s="6" t="n"/>
      <c r="K1587" s="8" t="n"/>
      <c r="L1587" s="8" t="n"/>
      <c r="M1587" s="14">
        <f>IF($A1587="","",$J1587*$K1587)</f>
        <v/>
      </c>
      <c r="N1587" s="14">
        <f>IF($A1587="","",$M1587-$L1587)</f>
        <v/>
      </c>
      <c r="O1587" s="4" t="n"/>
      <c r="P1587" s="15">
        <f>IF($A1587="","",DATE(YEAR($A1587),MONTH($A1587),1))</f>
        <v/>
      </c>
      <c r="Q1587" s="16">
        <f>IF($H1587="","",$J1587*IFERROR(INDEX('Settings'!$L$10:$L$39,MATCH($H1587,'Settings'!$I$10:$I$39,0)),0))</f>
        <v/>
      </c>
      <c r="R1587" s="17">
        <f>IF($A1587="","",$A1587-WEEKDAY($A1587,2)+1)</f>
        <v/>
      </c>
    </row>
    <row r="1588">
      <c r="A1588" s="5" t="n"/>
      <c r="B1588" s="4" t="n"/>
      <c r="C1588" s="4" t="n"/>
      <c r="D1588" s="4" t="n"/>
      <c r="E1588" s="4" t="n"/>
      <c r="F1588" s="4" t="n"/>
      <c r="G1588" s="4" t="n"/>
      <c r="H1588" s="4" t="n"/>
      <c r="I1588" s="9">
        <f>IF($H1588="","",IFERROR(INDEX('Settings'!$J$10:$J$39,MATCH($H1588,'Settings'!$I$10:$I$39,0)),""))</f>
        <v/>
      </c>
      <c r="J1588" s="6" t="n"/>
      <c r="K1588" s="8" t="n"/>
      <c r="L1588" s="8" t="n"/>
      <c r="M1588" s="14">
        <f>IF($A1588="","",$J1588*$K1588)</f>
        <v/>
      </c>
      <c r="N1588" s="14">
        <f>IF($A1588="","",$M1588-$L1588)</f>
        <v/>
      </c>
      <c r="O1588" s="4" t="n"/>
      <c r="P1588" s="15">
        <f>IF($A1588="","",DATE(YEAR($A1588),MONTH($A1588),1))</f>
        <v/>
      </c>
      <c r="Q1588" s="16">
        <f>IF($H1588="","",$J1588*IFERROR(INDEX('Settings'!$L$10:$L$39,MATCH($H1588,'Settings'!$I$10:$I$39,0)),0))</f>
        <v/>
      </c>
      <c r="R1588" s="17">
        <f>IF($A1588="","",$A1588-WEEKDAY($A1588,2)+1)</f>
        <v/>
      </c>
    </row>
    <row r="1589">
      <c r="A1589" s="5" t="n"/>
      <c r="B1589" s="4" t="n"/>
      <c r="C1589" s="4" t="n"/>
      <c r="D1589" s="4" t="n"/>
      <c r="E1589" s="4" t="n"/>
      <c r="F1589" s="4" t="n"/>
      <c r="G1589" s="4" t="n"/>
      <c r="H1589" s="4" t="n"/>
      <c r="I1589" s="9">
        <f>IF($H1589="","",IFERROR(INDEX('Settings'!$J$10:$J$39,MATCH($H1589,'Settings'!$I$10:$I$39,0)),""))</f>
        <v/>
      </c>
      <c r="J1589" s="6" t="n"/>
      <c r="K1589" s="8" t="n"/>
      <c r="L1589" s="8" t="n"/>
      <c r="M1589" s="14">
        <f>IF($A1589="","",$J1589*$K1589)</f>
        <v/>
      </c>
      <c r="N1589" s="14">
        <f>IF($A1589="","",$M1589-$L1589)</f>
        <v/>
      </c>
      <c r="O1589" s="4" t="n"/>
      <c r="P1589" s="15">
        <f>IF($A1589="","",DATE(YEAR($A1589),MONTH($A1589),1))</f>
        <v/>
      </c>
      <c r="Q1589" s="16">
        <f>IF($H1589="","",$J1589*IFERROR(INDEX('Settings'!$L$10:$L$39,MATCH($H1589,'Settings'!$I$10:$I$39,0)),0))</f>
        <v/>
      </c>
      <c r="R1589" s="17">
        <f>IF($A1589="","",$A1589-WEEKDAY($A1589,2)+1)</f>
        <v/>
      </c>
    </row>
    <row r="1590">
      <c r="A1590" s="5" t="n"/>
      <c r="B1590" s="4" t="n"/>
      <c r="C1590" s="4" t="n"/>
      <c r="D1590" s="4" t="n"/>
      <c r="E1590" s="4" t="n"/>
      <c r="F1590" s="4" t="n"/>
      <c r="G1590" s="4" t="n"/>
      <c r="H1590" s="4" t="n"/>
      <c r="I1590" s="9">
        <f>IF($H1590="","",IFERROR(INDEX('Settings'!$J$10:$J$39,MATCH($H1590,'Settings'!$I$10:$I$39,0)),""))</f>
        <v/>
      </c>
      <c r="J1590" s="6" t="n"/>
      <c r="K1590" s="8" t="n"/>
      <c r="L1590" s="8" t="n"/>
      <c r="M1590" s="14">
        <f>IF($A1590="","",$J1590*$K1590)</f>
        <v/>
      </c>
      <c r="N1590" s="14">
        <f>IF($A1590="","",$M1590-$L1590)</f>
        <v/>
      </c>
      <c r="O1590" s="4" t="n"/>
      <c r="P1590" s="15">
        <f>IF($A1590="","",DATE(YEAR($A1590),MONTH($A1590),1))</f>
        <v/>
      </c>
      <c r="Q1590" s="16">
        <f>IF($H1590="","",$J1590*IFERROR(INDEX('Settings'!$L$10:$L$39,MATCH($H1590,'Settings'!$I$10:$I$39,0)),0))</f>
        <v/>
      </c>
      <c r="R1590" s="17">
        <f>IF($A1590="","",$A1590-WEEKDAY($A1590,2)+1)</f>
        <v/>
      </c>
    </row>
    <row r="1591">
      <c r="A1591" s="5" t="n"/>
      <c r="B1591" s="4" t="n"/>
      <c r="C1591" s="4" t="n"/>
      <c r="D1591" s="4" t="n"/>
      <c r="E1591" s="4" t="n"/>
      <c r="F1591" s="4" t="n"/>
      <c r="G1591" s="4" t="n"/>
      <c r="H1591" s="4" t="n"/>
      <c r="I1591" s="9">
        <f>IF($H1591="","",IFERROR(INDEX('Settings'!$J$10:$J$39,MATCH($H1591,'Settings'!$I$10:$I$39,0)),""))</f>
        <v/>
      </c>
      <c r="J1591" s="6" t="n"/>
      <c r="K1591" s="8" t="n"/>
      <c r="L1591" s="8" t="n"/>
      <c r="M1591" s="14">
        <f>IF($A1591="","",$J1591*$K1591)</f>
        <v/>
      </c>
      <c r="N1591" s="14">
        <f>IF($A1591="","",$M1591-$L1591)</f>
        <v/>
      </c>
      <c r="O1591" s="4" t="n"/>
      <c r="P1591" s="15">
        <f>IF($A1591="","",DATE(YEAR($A1591),MONTH($A1591),1))</f>
        <v/>
      </c>
      <c r="Q1591" s="16">
        <f>IF($H1591="","",$J1591*IFERROR(INDEX('Settings'!$L$10:$L$39,MATCH($H1591,'Settings'!$I$10:$I$39,0)),0))</f>
        <v/>
      </c>
      <c r="R1591" s="17">
        <f>IF($A1591="","",$A1591-WEEKDAY($A1591,2)+1)</f>
        <v/>
      </c>
    </row>
    <row r="1592">
      <c r="A1592" s="5" t="n"/>
      <c r="B1592" s="4" t="n"/>
      <c r="C1592" s="4" t="n"/>
      <c r="D1592" s="4" t="n"/>
      <c r="E1592" s="4" t="n"/>
      <c r="F1592" s="4" t="n"/>
      <c r="G1592" s="4" t="n"/>
      <c r="H1592" s="4" t="n"/>
      <c r="I1592" s="9">
        <f>IF($H1592="","",IFERROR(INDEX('Settings'!$J$10:$J$39,MATCH($H1592,'Settings'!$I$10:$I$39,0)),""))</f>
        <v/>
      </c>
      <c r="J1592" s="6" t="n"/>
      <c r="K1592" s="8" t="n"/>
      <c r="L1592" s="8" t="n"/>
      <c r="M1592" s="14">
        <f>IF($A1592="","",$J1592*$K1592)</f>
        <v/>
      </c>
      <c r="N1592" s="14">
        <f>IF($A1592="","",$M1592-$L1592)</f>
        <v/>
      </c>
      <c r="O1592" s="4" t="n"/>
      <c r="P1592" s="15">
        <f>IF($A1592="","",DATE(YEAR($A1592),MONTH($A1592),1))</f>
        <v/>
      </c>
      <c r="Q1592" s="16">
        <f>IF($H1592="","",$J1592*IFERROR(INDEX('Settings'!$L$10:$L$39,MATCH($H1592,'Settings'!$I$10:$I$39,0)),0))</f>
        <v/>
      </c>
      <c r="R1592" s="17">
        <f>IF($A1592="","",$A1592-WEEKDAY($A1592,2)+1)</f>
        <v/>
      </c>
    </row>
    <row r="1593">
      <c r="A1593" s="5" t="n"/>
      <c r="B1593" s="4" t="n"/>
      <c r="C1593" s="4" t="n"/>
      <c r="D1593" s="4" t="n"/>
      <c r="E1593" s="4" t="n"/>
      <c r="F1593" s="4" t="n"/>
      <c r="G1593" s="4" t="n"/>
      <c r="H1593" s="4" t="n"/>
      <c r="I1593" s="9">
        <f>IF($H1593="","",IFERROR(INDEX('Settings'!$J$10:$J$39,MATCH($H1593,'Settings'!$I$10:$I$39,0)),""))</f>
        <v/>
      </c>
      <c r="J1593" s="6" t="n"/>
      <c r="K1593" s="8" t="n"/>
      <c r="L1593" s="8" t="n"/>
      <c r="M1593" s="14">
        <f>IF($A1593="","",$J1593*$K1593)</f>
        <v/>
      </c>
      <c r="N1593" s="14">
        <f>IF($A1593="","",$M1593-$L1593)</f>
        <v/>
      </c>
      <c r="O1593" s="4" t="n"/>
      <c r="P1593" s="15">
        <f>IF($A1593="","",DATE(YEAR($A1593),MONTH($A1593),1))</f>
        <v/>
      </c>
      <c r="Q1593" s="16">
        <f>IF($H1593="","",$J1593*IFERROR(INDEX('Settings'!$L$10:$L$39,MATCH($H1593,'Settings'!$I$10:$I$39,0)),0))</f>
        <v/>
      </c>
      <c r="R1593" s="17">
        <f>IF($A1593="","",$A1593-WEEKDAY($A1593,2)+1)</f>
        <v/>
      </c>
    </row>
    <row r="1594">
      <c r="A1594" s="5" t="n"/>
      <c r="B1594" s="4" t="n"/>
      <c r="C1594" s="4" t="n"/>
      <c r="D1594" s="4" t="n"/>
      <c r="E1594" s="4" t="n"/>
      <c r="F1594" s="4" t="n"/>
      <c r="G1594" s="4" t="n"/>
      <c r="H1594" s="4" t="n"/>
      <c r="I1594" s="9">
        <f>IF($H1594="","",IFERROR(INDEX('Settings'!$J$10:$J$39,MATCH($H1594,'Settings'!$I$10:$I$39,0)),""))</f>
        <v/>
      </c>
      <c r="J1594" s="6" t="n"/>
      <c r="K1594" s="8" t="n"/>
      <c r="L1594" s="8" t="n"/>
      <c r="M1594" s="14">
        <f>IF($A1594="","",$J1594*$K1594)</f>
        <v/>
      </c>
      <c r="N1594" s="14">
        <f>IF($A1594="","",$M1594-$L1594)</f>
        <v/>
      </c>
      <c r="O1594" s="4" t="n"/>
      <c r="P1594" s="15">
        <f>IF($A1594="","",DATE(YEAR($A1594),MONTH($A1594),1))</f>
        <v/>
      </c>
      <c r="Q1594" s="16">
        <f>IF($H1594="","",$J1594*IFERROR(INDEX('Settings'!$L$10:$L$39,MATCH($H1594,'Settings'!$I$10:$I$39,0)),0))</f>
        <v/>
      </c>
      <c r="R1594" s="17">
        <f>IF($A1594="","",$A1594-WEEKDAY($A1594,2)+1)</f>
        <v/>
      </c>
    </row>
    <row r="1595">
      <c r="A1595" s="5" t="n"/>
      <c r="B1595" s="4" t="n"/>
      <c r="C1595" s="4" t="n"/>
      <c r="D1595" s="4" t="n"/>
      <c r="E1595" s="4" t="n"/>
      <c r="F1595" s="4" t="n"/>
      <c r="G1595" s="4" t="n"/>
      <c r="H1595" s="4" t="n"/>
      <c r="I1595" s="9">
        <f>IF($H1595="","",IFERROR(INDEX('Settings'!$J$10:$J$39,MATCH($H1595,'Settings'!$I$10:$I$39,0)),""))</f>
        <v/>
      </c>
      <c r="J1595" s="6" t="n"/>
      <c r="K1595" s="8" t="n"/>
      <c r="L1595" s="8" t="n"/>
      <c r="M1595" s="14">
        <f>IF($A1595="","",$J1595*$K1595)</f>
        <v/>
      </c>
      <c r="N1595" s="14">
        <f>IF($A1595="","",$M1595-$L1595)</f>
        <v/>
      </c>
      <c r="O1595" s="4" t="n"/>
      <c r="P1595" s="15">
        <f>IF($A1595="","",DATE(YEAR($A1595),MONTH($A1595),1))</f>
        <v/>
      </c>
      <c r="Q1595" s="16">
        <f>IF($H1595="","",$J1595*IFERROR(INDEX('Settings'!$L$10:$L$39,MATCH($H1595,'Settings'!$I$10:$I$39,0)),0))</f>
        <v/>
      </c>
      <c r="R1595" s="17">
        <f>IF($A1595="","",$A1595-WEEKDAY($A1595,2)+1)</f>
        <v/>
      </c>
    </row>
    <row r="1596">
      <c r="A1596" s="5" t="n"/>
      <c r="B1596" s="4" t="n"/>
      <c r="C1596" s="4" t="n"/>
      <c r="D1596" s="4" t="n"/>
      <c r="E1596" s="4" t="n"/>
      <c r="F1596" s="4" t="n"/>
      <c r="G1596" s="4" t="n"/>
      <c r="H1596" s="4" t="n"/>
      <c r="I1596" s="9">
        <f>IF($H1596="","",IFERROR(INDEX('Settings'!$J$10:$J$39,MATCH($H1596,'Settings'!$I$10:$I$39,0)),""))</f>
        <v/>
      </c>
      <c r="J1596" s="6" t="n"/>
      <c r="K1596" s="8" t="n"/>
      <c r="L1596" s="8" t="n"/>
      <c r="M1596" s="14">
        <f>IF($A1596="","",$J1596*$K1596)</f>
        <v/>
      </c>
      <c r="N1596" s="14">
        <f>IF($A1596="","",$M1596-$L1596)</f>
        <v/>
      </c>
      <c r="O1596" s="4" t="n"/>
      <c r="P1596" s="15">
        <f>IF($A1596="","",DATE(YEAR($A1596),MONTH($A1596),1))</f>
        <v/>
      </c>
      <c r="Q1596" s="16">
        <f>IF($H1596="","",$J1596*IFERROR(INDEX('Settings'!$L$10:$L$39,MATCH($H1596,'Settings'!$I$10:$I$39,0)),0))</f>
        <v/>
      </c>
      <c r="R1596" s="17">
        <f>IF($A1596="","",$A1596-WEEKDAY($A1596,2)+1)</f>
        <v/>
      </c>
    </row>
    <row r="1597">
      <c r="A1597" s="5" t="n"/>
      <c r="B1597" s="4" t="n"/>
      <c r="C1597" s="4" t="n"/>
      <c r="D1597" s="4" t="n"/>
      <c r="E1597" s="4" t="n"/>
      <c r="F1597" s="4" t="n"/>
      <c r="G1597" s="4" t="n"/>
      <c r="H1597" s="4" t="n"/>
      <c r="I1597" s="9">
        <f>IF($H1597="","",IFERROR(INDEX('Settings'!$J$10:$J$39,MATCH($H1597,'Settings'!$I$10:$I$39,0)),""))</f>
        <v/>
      </c>
      <c r="J1597" s="6" t="n"/>
      <c r="K1597" s="8" t="n"/>
      <c r="L1597" s="8" t="n"/>
      <c r="M1597" s="14">
        <f>IF($A1597="","",$J1597*$K1597)</f>
        <v/>
      </c>
      <c r="N1597" s="14">
        <f>IF($A1597="","",$M1597-$L1597)</f>
        <v/>
      </c>
      <c r="O1597" s="4" t="n"/>
      <c r="P1597" s="15">
        <f>IF($A1597="","",DATE(YEAR($A1597),MONTH($A1597),1))</f>
        <v/>
      </c>
      <c r="Q1597" s="16">
        <f>IF($H1597="","",$J1597*IFERROR(INDEX('Settings'!$L$10:$L$39,MATCH($H1597,'Settings'!$I$10:$I$39,0)),0))</f>
        <v/>
      </c>
      <c r="R1597" s="17">
        <f>IF($A1597="","",$A1597-WEEKDAY($A1597,2)+1)</f>
        <v/>
      </c>
    </row>
    <row r="1598">
      <c r="A1598" s="5" t="n"/>
      <c r="B1598" s="4" t="n"/>
      <c r="C1598" s="4" t="n"/>
      <c r="D1598" s="4" t="n"/>
      <c r="E1598" s="4" t="n"/>
      <c r="F1598" s="4" t="n"/>
      <c r="G1598" s="4" t="n"/>
      <c r="H1598" s="4" t="n"/>
      <c r="I1598" s="9">
        <f>IF($H1598="","",IFERROR(INDEX('Settings'!$J$10:$J$39,MATCH($H1598,'Settings'!$I$10:$I$39,0)),""))</f>
        <v/>
      </c>
      <c r="J1598" s="6" t="n"/>
      <c r="K1598" s="8" t="n"/>
      <c r="L1598" s="8" t="n"/>
      <c r="M1598" s="14">
        <f>IF($A1598="","",$J1598*$K1598)</f>
        <v/>
      </c>
      <c r="N1598" s="14">
        <f>IF($A1598="","",$M1598-$L1598)</f>
        <v/>
      </c>
      <c r="O1598" s="4" t="n"/>
      <c r="P1598" s="15">
        <f>IF($A1598="","",DATE(YEAR($A1598),MONTH($A1598),1))</f>
        <v/>
      </c>
      <c r="Q1598" s="16">
        <f>IF($H1598="","",$J1598*IFERROR(INDEX('Settings'!$L$10:$L$39,MATCH($H1598,'Settings'!$I$10:$I$39,0)),0))</f>
        <v/>
      </c>
      <c r="R1598" s="17">
        <f>IF($A1598="","",$A1598-WEEKDAY($A1598,2)+1)</f>
        <v/>
      </c>
    </row>
    <row r="1599">
      <c r="A1599" s="5" t="n"/>
      <c r="B1599" s="4" t="n"/>
      <c r="C1599" s="4" t="n"/>
      <c r="D1599" s="4" t="n"/>
      <c r="E1599" s="4" t="n"/>
      <c r="F1599" s="4" t="n"/>
      <c r="G1599" s="4" t="n"/>
      <c r="H1599" s="4" t="n"/>
      <c r="I1599" s="9">
        <f>IF($H1599="","",IFERROR(INDEX('Settings'!$J$10:$J$39,MATCH($H1599,'Settings'!$I$10:$I$39,0)),""))</f>
        <v/>
      </c>
      <c r="J1599" s="6" t="n"/>
      <c r="K1599" s="8" t="n"/>
      <c r="L1599" s="8" t="n"/>
      <c r="M1599" s="14">
        <f>IF($A1599="","",$J1599*$K1599)</f>
        <v/>
      </c>
      <c r="N1599" s="14">
        <f>IF($A1599="","",$M1599-$L1599)</f>
        <v/>
      </c>
      <c r="O1599" s="4" t="n"/>
      <c r="P1599" s="15">
        <f>IF($A1599="","",DATE(YEAR($A1599),MONTH($A1599),1))</f>
        <v/>
      </c>
      <c r="Q1599" s="16">
        <f>IF($H1599="","",$J1599*IFERROR(INDEX('Settings'!$L$10:$L$39,MATCH($H1599,'Settings'!$I$10:$I$39,0)),0))</f>
        <v/>
      </c>
      <c r="R1599" s="17">
        <f>IF($A1599="","",$A1599-WEEKDAY($A1599,2)+1)</f>
        <v/>
      </c>
    </row>
    <row r="1600">
      <c r="A1600" s="5" t="n"/>
      <c r="B1600" s="4" t="n"/>
      <c r="C1600" s="4" t="n"/>
      <c r="D1600" s="4" t="n"/>
      <c r="E1600" s="4" t="n"/>
      <c r="F1600" s="4" t="n"/>
      <c r="G1600" s="4" t="n"/>
      <c r="H1600" s="4" t="n"/>
      <c r="I1600" s="9">
        <f>IF($H1600="","",IFERROR(INDEX('Settings'!$J$10:$J$39,MATCH($H1600,'Settings'!$I$10:$I$39,0)),""))</f>
        <v/>
      </c>
      <c r="J1600" s="6" t="n"/>
      <c r="K1600" s="8" t="n"/>
      <c r="L1600" s="8" t="n"/>
      <c r="M1600" s="14">
        <f>IF($A1600="","",$J1600*$K1600)</f>
        <v/>
      </c>
      <c r="N1600" s="14">
        <f>IF($A1600="","",$M1600-$L1600)</f>
        <v/>
      </c>
      <c r="O1600" s="4" t="n"/>
      <c r="P1600" s="15">
        <f>IF($A1600="","",DATE(YEAR($A1600),MONTH($A1600),1))</f>
        <v/>
      </c>
      <c r="Q1600" s="16">
        <f>IF($H1600="","",$J1600*IFERROR(INDEX('Settings'!$L$10:$L$39,MATCH($H1600,'Settings'!$I$10:$I$39,0)),0))</f>
        <v/>
      </c>
      <c r="R1600" s="17">
        <f>IF($A1600="","",$A1600-WEEKDAY($A1600,2)+1)</f>
        <v/>
      </c>
    </row>
    <row r="1601">
      <c r="A1601" s="5" t="n"/>
      <c r="B1601" s="4" t="n"/>
      <c r="C1601" s="4" t="n"/>
      <c r="D1601" s="4" t="n"/>
      <c r="E1601" s="4" t="n"/>
      <c r="F1601" s="4" t="n"/>
      <c r="G1601" s="4" t="n"/>
      <c r="H1601" s="4" t="n"/>
      <c r="I1601" s="9">
        <f>IF($H1601="","",IFERROR(INDEX('Settings'!$J$10:$J$39,MATCH($H1601,'Settings'!$I$10:$I$39,0)),""))</f>
        <v/>
      </c>
      <c r="J1601" s="6" t="n"/>
      <c r="K1601" s="8" t="n"/>
      <c r="L1601" s="8" t="n"/>
      <c r="M1601" s="14">
        <f>IF($A1601="","",$J1601*$K1601)</f>
        <v/>
      </c>
      <c r="N1601" s="14">
        <f>IF($A1601="","",$M1601-$L1601)</f>
        <v/>
      </c>
      <c r="O1601" s="4" t="n"/>
      <c r="P1601" s="15">
        <f>IF($A1601="","",DATE(YEAR($A1601),MONTH($A1601),1))</f>
        <v/>
      </c>
      <c r="Q1601" s="16">
        <f>IF($H1601="","",$J1601*IFERROR(INDEX('Settings'!$L$10:$L$39,MATCH($H1601,'Settings'!$I$10:$I$39,0)),0))</f>
        <v/>
      </c>
      <c r="R1601" s="17">
        <f>IF($A1601="","",$A1601-WEEKDAY($A1601,2)+1)</f>
        <v/>
      </c>
    </row>
    <row r="1602">
      <c r="A1602" s="5" t="n"/>
      <c r="B1602" s="4" t="n"/>
      <c r="C1602" s="4" t="n"/>
      <c r="D1602" s="4" t="n"/>
      <c r="E1602" s="4" t="n"/>
      <c r="F1602" s="4" t="n"/>
      <c r="G1602" s="4" t="n"/>
      <c r="H1602" s="4" t="n"/>
      <c r="I1602" s="9">
        <f>IF($H1602="","",IFERROR(INDEX('Settings'!$J$10:$J$39,MATCH($H1602,'Settings'!$I$10:$I$39,0)),""))</f>
        <v/>
      </c>
      <c r="J1602" s="6" t="n"/>
      <c r="K1602" s="8" t="n"/>
      <c r="L1602" s="8" t="n"/>
      <c r="M1602" s="14">
        <f>IF($A1602="","",$J1602*$K1602)</f>
        <v/>
      </c>
      <c r="N1602" s="14">
        <f>IF($A1602="","",$M1602-$L1602)</f>
        <v/>
      </c>
      <c r="O1602" s="4" t="n"/>
      <c r="P1602" s="15">
        <f>IF($A1602="","",DATE(YEAR($A1602),MONTH($A1602),1))</f>
        <v/>
      </c>
      <c r="Q1602" s="16">
        <f>IF($H1602="","",$J1602*IFERROR(INDEX('Settings'!$L$10:$L$39,MATCH($H1602,'Settings'!$I$10:$I$39,0)),0))</f>
        <v/>
      </c>
      <c r="R1602" s="17">
        <f>IF($A1602="","",$A1602-WEEKDAY($A1602,2)+1)</f>
        <v/>
      </c>
    </row>
    <row r="1603">
      <c r="A1603" s="5" t="n"/>
      <c r="B1603" s="4" t="n"/>
      <c r="C1603" s="4" t="n"/>
      <c r="D1603" s="4" t="n"/>
      <c r="E1603" s="4" t="n"/>
      <c r="F1603" s="4" t="n"/>
      <c r="G1603" s="4" t="n"/>
      <c r="H1603" s="4" t="n"/>
      <c r="I1603" s="9">
        <f>IF($H1603="","",IFERROR(INDEX('Settings'!$J$10:$J$39,MATCH($H1603,'Settings'!$I$10:$I$39,0)),""))</f>
        <v/>
      </c>
      <c r="J1603" s="6" t="n"/>
      <c r="K1603" s="8" t="n"/>
      <c r="L1603" s="8" t="n"/>
      <c r="M1603" s="14">
        <f>IF($A1603="","",$J1603*$K1603)</f>
        <v/>
      </c>
      <c r="N1603" s="14">
        <f>IF($A1603="","",$M1603-$L1603)</f>
        <v/>
      </c>
      <c r="O1603" s="4" t="n"/>
      <c r="P1603" s="15">
        <f>IF($A1603="","",DATE(YEAR($A1603),MONTH($A1603),1))</f>
        <v/>
      </c>
      <c r="Q1603" s="16">
        <f>IF($H1603="","",$J1603*IFERROR(INDEX('Settings'!$L$10:$L$39,MATCH($H1603,'Settings'!$I$10:$I$39,0)),0))</f>
        <v/>
      </c>
      <c r="R1603" s="17">
        <f>IF($A1603="","",$A1603-WEEKDAY($A1603,2)+1)</f>
        <v/>
      </c>
    </row>
    <row r="1604">
      <c r="A1604" s="5" t="n"/>
      <c r="B1604" s="4" t="n"/>
      <c r="C1604" s="4" t="n"/>
      <c r="D1604" s="4" t="n"/>
      <c r="E1604" s="4" t="n"/>
      <c r="F1604" s="4" t="n"/>
      <c r="G1604" s="4" t="n"/>
      <c r="H1604" s="4" t="n"/>
      <c r="I1604" s="9">
        <f>IF($H1604="","",IFERROR(INDEX('Settings'!$J$10:$J$39,MATCH($H1604,'Settings'!$I$10:$I$39,0)),""))</f>
        <v/>
      </c>
      <c r="J1604" s="6" t="n"/>
      <c r="K1604" s="8" t="n"/>
      <c r="L1604" s="8" t="n"/>
      <c r="M1604" s="14">
        <f>IF($A1604="","",$J1604*$K1604)</f>
        <v/>
      </c>
      <c r="N1604" s="14">
        <f>IF($A1604="","",$M1604-$L1604)</f>
        <v/>
      </c>
      <c r="O1604" s="4" t="n"/>
      <c r="P1604" s="15">
        <f>IF($A1604="","",DATE(YEAR($A1604),MONTH($A1604),1))</f>
        <v/>
      </c>
      <c r="Q1604" s="16">
        <f>IF($H1604="","",$J1604*IFERROR(INDEX('Settings'!$L$10:$L$39,MATCH($H1604,'Settings'!$I$10:$I$39,0)),0))</f>
        <v/>
      </c>
      <c r="R1604" s="17">
        <f>IF($A1604="","",$A1604-WEEKDAY($A1604,2)+1)</f>
        <v/>
      </c>
    </row>
    <row r="1605">
      <c r="A1605" s="5" t="n"/>
      <c r="B1605" s="4" t="n"/>
      <c r="C1605" s="4" t="n"/>
      <c r="D1605" s="4" t="n"/>
      <c r="E1605" s="4" t="n"/>
      <c r="F1605" s="4" t="n"/>
      <c r="G1605" s="4" t="n"/>
      <c r="H1605" s="4" t="n"/>
      <c r="I1605" s="9">
        <f>IF($H1605="","",IFERROR(INDEX('Settings'!$J$10:$J$39,MATCH($H1605,'Settings'!$I$10:$I$39,0)),""))</f>
        <v/>
      </c>
      <c r="J1605" s="6" t="n"/>
      <c r="K1605" s="8" t="n"/>
      <c r="L1605" s="8" t="n"/>
      <c r="M1605" s="14">
        <f>IF($A1605="","",$J1605*$K1605)</f>
        <v/>
      </c>
      <c r="N1605" s="14">
        <f>IF($A1605="","",$M1605-$L1605)</f>
        <v/>
      </c>
      <c r="O1605" s="4" t="n"/>
      <c r="P1605" s="15">
        <f>IF($A1605="","",DATE(YEAR($A1605),MONTH($A1605),1))</f>
        <v/>
      </c>
      <c r="Q1605" s="16">
        <f>IF($H1605="","",$J1605*IFERROR(INDEX('Settings'!$L$10:$L$39,MATCH($H1605,'Settings'!$I$10:$I$39,0)),0))</f>
        <v/>
      </c>
      <c r="R1605" s="17">
        <f>IF($A1605="","",$A1605-WEEKDAY($A1605,2)+1)</f>
        <v/>
      </c>
    </row>
    <row r="1606">
      <c r="A1606" s="5" t="n"/>
      <c r="B1606" s="4" t="n"/>
      <c r="C1606" s="4" t="n"/>
      <c r="D1606" s="4" t="n"/>
      <c r="E1606" s="4" t="n"/>
      <c r="F1606" s="4" t="n"/>
      <c r="G1606" s="4" t="n"/>
      <c r="H1606" s="4" t="n"/>
      <c r="I1606" s="9">
        <f>IF($H1606="","",IFERROR(INDEX('Settings'!$J$10:$J$39,MATCH($H1606,'Settings'!$I$10:$I$39,0)),""))</f>
        <v/>
      </c>
      <c r="J1606" s="6" t="n"/>
      <c r="K1606" s="8" t="n"/>
      <c r="L1606" s="8" t="n"/>
      <c r="M1606" s="14">
        <f>IF($A1606="","",$J1606*$K1606)</f>
        <v/>
      </c>
      <c r="N1606" s="14">
        <f>IF($A1606="","",$M1606-$L1606)</f>
        <v/>
      </c>
      <c r="O1606" s="4" t="n"/>
      <c r="P1606" s="15">
        <f>IF($A1606="","",DATE(YEAR($A1606),MONTH($A1606),1))</f>
        <v/>
      </c>
      <c r="Q1606" s="16">
        <f>IF($H1606="","",$J1606*IFERROR(INDEX('Settings'!$L$10:$L$39,MATCH($H1606,'Settings'!$I$10:$I$39,0)),0))</f>
        <v/>
      </c>
      <c r="R1606" s="17">
        <f>IF($A1606="","",$A1606-WEEKDAY($A1606,2)+1)</f>
        <v/>
      </c>
    </row>
    <row r="1607">
      <c r="A1607" s="5" t="n"/>
      <c r="B1607" s="4" t="n"/>
      <c r="C1607" s="4" t="n"/>
      <c r="D1607" s="4" t="n"/>
      <c r="E1607" s="4" t="n"/>
      <c r="F1607" s="4" t="n"/>
      <c r="G1607" s="4" t="n"/>
      <c r="H1607" s="4" t="n"/>
      <c r="I1607" s="9">
        <f>IF($H1607="","",IFERROR(INDEX('Settings'!$J$10:$J$39,MATCH($H1607,'Settings'!$I$10:$I$39,0)),""))</f>
        <v/>
      </c>
      <c r="J1607" s="6" t="n"/>
      <c r="K1607" s="8" t="n"/>
      <c r="L1607" s="8" t="n"/>
      <c r="M1607" s="14">
        <f>IF($A1607="","",$J1607*$K1607)</f>
        <v/>
      </c>
      <c r="N1607" s="14">
        <f>IF($A1607="","",$M1607-$L1607)</f>
        <v/>
      </c>
      <c r="O1607" s="4" t="n"/>
      <c r="P1607" s="15">
        <f>IF($A1607="","",DATE(YEAR($A1607),MONTH($A1607),1))</f>
        <v/>
      </c>
      <c r="Q1607" s="16">
        <f>IF($H1607="","",$J1607*IFERROR(INDEX('Settings'!$L$10:$L$39,MATCH($H1607,'Settings'!$I$10:$I$39,0)),0))</f>
        <v/>
      </c>
      <c r="R1607" s="17">
        <f>IF($A1607="","",$A1607-WEEKDAY($A1607,2)+1)</f>
        <v/>
      </c>
    </row>
    <row r="1608">
      <c r="A1608" s="5" t="n"/>
      <c r="B1608" s="4" t="n"/>
      <c r="C1608" s="4" t="n"/>
      <c r="D1608" s="4" t="n"/>
      <c r="E1608" s="4" t="n"/>
      <c r="F1608" s="4" t="n"/>
      <c r="G1608" s="4" t="n"/>
      <c r="H1608" s="4" t="n"/>
      <c r="I1608" s="9">
        <f>IF($H1608="","",IFERROR(INDEX('Settings'!$J$10:$J$39,MATCH($H1608,'Settings'!$I$10:$I$39,0)),""))</f>
        <v/>
      </c>
      <c r="J1608" s="6" t="n"/>
      <c r="K1608" s="8" t="n"/>
      <c r="L1608" s="8" t="n"/>
      <c r="M1608" s="14">
        <f>IF($A1608="","",$J1608*$K1608)</f>
        <v/>
      </c>
      <c r="N1608" s="14">
        <f>IF($A1608="","",$M1608-$L1608)</f>
        <v/>
      </c>
      <c r="O1608" s="4" t="n"/>
      <c r="P1608" s="15">
        <f>IF($A1608="","",DATE(YEAR($A1608),MONTH($A1608),1))</f>
        <v/>
      </c>
      <c r="Q1608" s="16">
        <f>IF($H1608="","",$J1608*IFERROR(INDEX('Settings'!$L$10:$L$39,MATCH($H1608,'Settings'!$I$10:$I$39,0)),0))</f>
        <v/>
      </c>
      <c r="R1608" s="17">
        <f>IF($A1608="","",$A1608-WEEKDAY($A1608,2)+1)</f>
        <v/>
      </c>
    </row>
    <row r="1609">
      <c r="A1609" s="5" t="n"/>
      <c r="B1609" s="4" t="n"/>
      <c r="C1609" s="4" t="n"/>
      <c r="D1609" s="4" t="n"/>
      <c r="E1609" s="4" t="n"/>
      <c r="F1609" s="4" t="n"/>
      <c r="G1609" s="4" t="n"/>
      <c r="H1609" s="4" t="n"/>
      <c r="I1609" s="9">
        <f>IF($H1609="","",IFERROR(INDEX('Settings'!$J$10:$J$39,MATCH($H1609,'Settings'!$I$10:$I$39,0)),""))</f>
        <v/>
      </c>
      <c r="J1609" s="6" t="n"/>
      <c r="K1609" s="8" t="n"/>
      <c r="L1609" s="8" t="n"/>
      <c r="M1609" s="14">
        <f>IF($A1609="","",$J1609*$K1609)</f>
        <v/>
      </c>
      <c r="N1609" s="14">
        <f>IF($A1609="","",$M1609-$L1609)</f>
        <v/>
      </c>
      <c r="O1609" s="4" t="n"/>
      <c r="P1609" s="15">
        <f>IF($A1609="","",DATE(YEAR($A1609),MONTH($A1609),1))</f>
        <v/>
      </c>
      <c r="Q1609" s="16">
        <f>IF($H1609="","",$J1609*IFERROR(INDEX('Settings'!$L$10:$L$39,MATCH($H1609,'Settings'!$I$10:$I$39,0)),0))</f>
        <v/>
      </c>
      <c r="R1609" s="17">
        <f>IF($A1609="","",$A1609-WEEKDAY($A1609,2)+1)</f>
        <v/>
      </c>
    </row>
    <row r="1610">
      <c r="A1610" s="5" t="n"/>
      <c r="B1610" s="4" t="n"/>
      <c r="C1610" s="4" t="n"/>
      <c r="D1610" s="4" t="n"/>
      <c r="E1610" s="4" t="n"/>
      <c r="F1610" s="4" t="n"/>
      <c r="G1610" s="4" t="n"/>
      <c r="H1610" s="4" t="n"/>
      <c r="I1610" s="9">
        <f>IF($H1610="","",IFERROR(INDEX('Settings'!$J$10:$J$39,MATCH($H1610,'Settings'!$I$10:$I$39,0)),""))</f>
        <v/>
      </c>
      <c r="J1610" s="6" t="n"/>
      <c r="K1610" s="8" t="n"/>
      <c r="L1610" s="8" t="n"/>
      <c r="M1610" s="14">
        <f>IF($A1610="","",$J1610*$K1610)</f>
        <v/>
      </c>
      <c r="N1610" s="14">
        <f>IF($A1610="","",$M1610-$L1610)</f>
        <v/>
      </c>
      <c r="O1610" s="4" t="n"/>
      <c r="P1610" s="15">
        <f>IF($A1610="","",DATE(YEAR($A1610),MONTH($A1610),1))</f>
        <v/>
      </c>
      <c r="Q1610" s="16">
        <f>IF($H1610="","",$J1610*IFERROR(INDEX('Settings'!$L$10:$L$39,MATCH($H1610,'Settings'!$I$10:$I$39,0)),0))</f>
        <v/>
      </c>
      <c r="R1610" s="17">
        <f>IF($A1610="","",$A1610-WEEKDAY($A1610,2)+1)</f>
        <v/>
      </c>
    </row>
    <row r="1611">
      <c r="A1611" s="5" t="n"/>
      <c r="B1611" s="4" t="n"/>
      <c r="C1611" s="4" t="n"/>
      <c r="D1611" s="4" t="n"/>
      <c r="E1611" s="4" t="n"/>
      <c r="F1611" s="4" t="n"/>
      <c r="G1611" s="4" t="n"/>
      <c r="H1611" s="4" t="n"/>
      <c r="I1611" s="9">
        <f>IF($H1611="","",IFERROR(INDEX('Settings'!$J$10:$J$39,MATCH($H1611,'Settings'!$I$10:$I$39,0)),""))</f>
        <v/>
      </c>
      <c r="J1611" s="6" t="n"/>
      <c r="K1611" s="8" t="n"/>
      <c r="L1611" s="8" t="n"/>
      <c r="M1611" s="14">
        <f>IF($A1611="","",$J1611*$K1611)</f>
        <v/>
      </c>
      <c r="N1611" s="14">
        <f>IF($A1611="","",$M1611-$L1611)</f>
        <v/>
      </c>
      <c r="O1611" s="4" t="n"/>
      <c r="P1611" s="15">
        <f>IF($A1611="","",DATE(YEAR($A1611),MONTH($A1611),1))</f>
        <v/>
      </c>
      <c r="Q1611" s="16">
        <f>IF($H1611="","",$J1611*IFERROR(INDEX('Settings'!$L$10:$L$39,MATCH($H1611,'Settings'!$I$10:$I$39,0)),0))</f>
        <v/>
      </c>
      <c r="R1611" s="17">
        <f>IF($A1611="","",$A1611-WEEKDAY($A1611,2)+1)</f>
        <v/>
      </c>
    </row>
    <row r="1612">
      <c r="A1612" s="5" t="n"/>
      <c r="B1612" s="4" t="n"/>
      <c r="C1612" s="4" t="n"/>
      <c r="D1612" s="4" t="n"/>
      <c r="E1612" s="4" t="n"/>
      <c r="F1612" s="4" t="n"/>
      <c r="G1612" s="4" t="n"/>
      <c r="H1612" s="4" t="n"/>
      <c r="I1612" s="9">
        <f>IF($H1612="","",IFERROR(INDEX('Settings'!$J$10:$J$39,MATCH($H1612,'Settings'!$I$10:$I$39,0)),""))</f>
        <v/>
      </c>
      <c r="J1612" s="6" t="n"/>
      <c r="K1612" s="8" t="n"/>
      <c r="L1612" s="8" t="n"/>
      <c r="M1612" s="14">
        <f>IF($A1612="","",$J1612*$K1612)</f>
        <v/>
      </c>
      <c r="N1612" s="14">
        <f>IF($A1612="","",$M1612-$L1612)</f>
        <v/>
      </c>
      <c r="O1612" s="4" t="n"/>
      <c r="P1612" s="15">
        <f>IF($A1612="","",DATE(YEAR($A1612),MONTH($A1612),1))</f>
        <v/>
      </c>
      <c r="Q1612" s="16">
        <f>IF($H1612="","",$J1612*IFERROR(INDEX('Settings'!$L$10:$L$39,MATCH($H1612,'Settings'!$I$10:$I$39,0)),0))</f>
        <v/>
      </c>
      <c r="R1612" s="17">
        <f>IF($A1612="","",$A1612-WEEKDAY($A1612,2)+1)</f>
        <v/>
      </c>
    </row>
    <row r="1613">
      <c r="A1613" s="5" t="n"/>
      <c r="B1613" s="4" t="n"/>
      <c r="C1613" s="4" t="n"/>
      <c r="D1613" s="4" t="n"/>
      <c r="E1613" s="4" t="n"/>
      <c r="F1613" s="4" t="n"/>
      <c r="G1613" s="4" t="n"/>
      <c r="H1613" s="4" t="n"/>
      <c r="I1613" s="9">
        <f>IF($H1613="","",IFERROR(INDEX('Settings'!$J$10:$J$39,MATCH($H1613,'Settings'!$I$10:$I$39,0)),""))</f>
        <v/>
      </c>
      <c r="J1613" s="6" t="n"/>
      <c r="K1613" s="8" t="n"/>
      <c r="L1613" s="8" t="n"/>
      <c r="M1613" s="14">
        <f>IF($A1613="","",$J1613*$K1613)</f>
        <v/>
      </c>
      <c r="N1613" s="14">
        <f>IF($A1613="","",$M1613-$L1613)</f>
        <v/>
      </c>
      <c r="O1613" s="4" t="n"/>
      <c r="P1613" s="15">
        <f>IF($A1613="","",DATE(YEAR($A1613),MONTH($A1613),1))</f>
        <v/>
      </c>
      <c r="Q1613" s="16">
        <f>IF($H1613="","",$J1613*IFERROR(INDEX('Settings'!$L$10:$L$39,MATCH($H1613,'Settings'!$I$10:$I$39,0)),0))</f>
        <v/>
      </c>
      <c r="R1613" s="17">
        <f>IF($A1613="","",$A1613-WEEKDAY($A1613,2)+1)</f>
        <v/>
      </c>
    </row>
    <row r="1614">
      <c r="A1614" s="5" t="n"/>
      <c r="B1614" s="4" t="n"/>
      <c r="C1614" s="4" t="n"/>
      <c r="D1614" s="4" t="n"/>
      <c r="E1614" s="4" t="n"/>
      <c r="F1614" s="4" t="n"/>
      <c r="G1614" s="4" t="n"/>
      <c r="H1614" s="4" t="n"/>
      <c r="I1614" s="9">
        <f>IF($H1614="","",IFERROR(INDEX('Settings'!$J$10:$J$39,MATCH($H1614,'Settings'!$I$10:$I$39,0)),""))</f>
        <v/>
      </c>
      <c r="J1614" s="6" t="n"/>
      <c r="K1614" s="8" t="n"/>
      <c r="L1614" s="8" t="n"/>
      <c r="M1614" s="14">
        <f>IF($A1614="","",$J1614*$K1614)</f>
        <v/>
      </c>
      <c r="N1614" s="14">
        <f>IF($A1614="","",$M1614-$L1614)</f>
        <v/>
      </c>
      <c r="O1614" s="4" t="n"/>
      <c r="P1614" s="15">
        <f>IF($A1614="","",DATE(YEAR($A1614),MONTH($A1614),1))</f>
        <v/>
      </c>
      <c r="Q1614" s="16">
        <f>IF($H1614="","",$J1614*IFERROR(INDEX('Settings'!$L$10:$L$39,MATCH($H1614,'Settings'!$I$10:$I$39,0)),0))</f>
        <v/>
      </c>
      <c r="R1614" s="17">
        <f>IF($A1614="","",$A1614-WEEKDAY($A1614,2)+1)</f>
        <v/>
      </c>
    </row>
    <row r="1615">
      <c r="A1615" s="5" t="n"/>
      <c r="B1615" s="4" t="n"/>
      <c r="C1615" s="4" t="n"/>
      <c r="D1615" s="4" t="n"/>
      <c r="E1615" s="4" t="n"/>
      <c r="F1615" s="4" t="n"/>
      <c r="G1615" s="4" t="n"/>
      <c r="H1615" s="4" t="n"/>
      <c r="I1615" s="9">
        <f>IF($H1615="","",IFERROR(INDEX('Settings'!$J$10:$J$39,MATCH($H1615,'Settings'!$I$10:$I$39,0)),""))</f>
        <v/>
      </c>
      <c r="J1615" s="6" t="n"/>
      <c r="K1615" s="8" t="n"/>
      <c r="L1615" s="8" t="n"/>
      <c r="M1615" s="14">
        <f>IF($A1615="","",$J1615*$K1615)</f>
        <v/>
      </c>
      <c r="N1615" s="14">
        <f>IF($A1615="","",$M1615-$L1615)</f>
        <v/>
      </c>
      <c r="O1615" s="4" t="n"/>
      <c r="P1615" s="15">
        <f>IF($A1615="","",DATE(YEAR($A1615),MONTH($A1615),1))</f>
        <v/>
      </c>
      <c r="Q1615" s="16">
        <f>IF($H1615="","",$J1615*IFERROR(INDEX('Settings'!$L$10:$L$39,MATCH($H1615,'Settings'!$I$10:$I$39,0)),0))</f>
        <v/>
      </c>
      <c r="R1615" s="17">
        <f>IF($A1615="","",$A1615-WEEKDAY($A1615,2)+1)</f>
        <v/>
      </c>
    </row>
    <row r="1616">
      <c r="A1616" s="5" t="n"/>
      <c r="B1616" s="4" t="n"/>
      <c r="C1616" s="4" t="n"/>
      <c r="D1616" s="4" t="n"/>
      <c r="E1616" s="4" t="n"/>
      <c r="F1616" s="4" t="n"/>
      <c r="G1616" s="4" t="n"/>
      <c r="H1616" s="4" t="n"/>
      <c r="I1616" s="9">
        <f>IF($H1616="","",IFERROR(INDEX('Settings'!$J$10:$J$39,MATCH($H1616,'Settings'!$I$10:$I$39,0)),""))</f>
        <v/>
      </c>
      <c r="J1616" s="6" t="n"/>
      <c r="K1616" s="8" t="n"/>
      <c r="L1616" s="8" t="n"/>
      <c r="M1616" s="14">
        <f>IF($A1616="","",$J1616*$K1616)</f>
        <v/>
      </c>
      <c r="N1616" s="14">
        <f>IF($A1616="","",$M1616-$L1616)</f>
        <v/>
      </c>
      <c r="O1616" s="4" t="n"/>
      <c r="P1616" s="15">
        <f>IF($A1616="","",DATE(YEAR($A1616),MONTH($A1616),1))</f>
        <v/>
      </c>
      <c r="Q1616" s="16">
        <f>IF($H1616="","",$J1616*IFERROR(INDEX('Settings'!$L$10:$L$39,MATCH($H1616,'Settings'!$I$10:$I$39,0)),0))</f>
        <v/>
      </c>
      <c r="R1616" s="17">
        <f>IF($A1616="","",$A1616-WEEKDAY($A1616,2)+1)</f>
        <v/>
      </c>
    </row>
    <row r="1617">
      <c r="A1617" s="5" t="n"/>
      <c r="B1617" s="4" t="n"/>
      <c r="C1617" s="4" t="n"/>
      <c r="D1617" s="4" t="n"/>
      <c r="E1617" s="4" t="n"/>
      <c r="F1617" s="4" t="n"/>
      <c r="G1617" s="4" t="n"/>
      <c r="H1617" s="4" t="n"/>
      <c r="I1617" s="9">
        <f>IF($H1617="","",IFERROR(INDEX('Settings'!$J$10:$J$39,MATCH($H1617,'Settings'!$I$10:$I$39,0)),""))</f>
        <v/>
      </c>
      <c r="J1617" s="6" t="n"/>
      <c r="K1617" s="8" t="n"/>
      <c r="L1617" s="8" t="n"/>
      <c r="M1617" s="14">
        <f>IF($A1617="","",$J1617*$K1617)</f>
        <v/>
      </c>
      <c r="N1617" s="14">
        <f>IF($A1617="","",$M1617-$L1617)</f>
        <v/>
      </c>
      <c r="O1617" s="4" t="n"/>
      <c r="P1617" s="15">
        <f>IF($A1617="","",DATE(YEAR($A1617),MONTH($A1617),1))</f>
        <v/>
      </c>
      <c r="Q1617" s="16">
        <f>IF($H1617="","",$J1617*IFERROR(INDEX('Settings'!$L$10:$L$39,MATCH($H1617,'Settings'!$I$10:$I$39,0)),0))</f>
        <v/>
      </c>
      <c r="R1617" s="17">
        <f>IF($A1617="","",$A1617-WEEKDAY($A1617,2)+1)</f>
        <v/>
      </c>
    </row>
    <row r="1618">
      <c r="A1618" s="5" t="n"/>
      <c r="B1618" s="4" t="n"/>
      <c r="C1618" s="4" t="n"/>
      <c r="D1618" s="4" t="n"/>
      <c r="E1618" s="4" t="n"/>
      <c r="F1618" s="4" t="n"/>
      <c r="G1618" s="4" t="n"/>
      <c r="H1618" s="4" t="n"/>
      <c r="I1618" s="9">
        <f>IF($H1618="","",IFERROR(INDEX('Settings'!$J$10:$J$39,MATCH($H1618,'Settings'!$I$10:$I$39,0)),""))</f>
        <v/>
      </c>
      <c r="J1618" s="6" t="n"/>
      <c r="K1618" s="8" t="n"/>
      <c r="L1618" s="8" t="n"/>
      <c r="M1618" s="14">
        <f>IF($A1618="","",$J1618*$K1618)</f>
        <v/>
      </c>
      <c r="N1618" s="14">
        <f>IF($A1618="","",$M1618-$L1618)</f>
        <v/>
      </c>
      <c r="O1618" s="4" t="n"/>
      <c r="P1618" s="15">
        <f>IF($A1618="","",DATE(YEAR($A1618),MONTH($A1618),1))</f>
        <v/>
      </c>
      <c r="Q1618" s="16">
        <f>IF($H1618="","",$J1618*IFERROR(INDEX('Settings'!$L$10:$L$39,MATCH($H1618,'Settings'!$I$10:$I$39,0)),0))</f>
        <v/>
      </c>
      <c r="R1618" s="17">
        <f>IF($A1618="","",$A1618-WEEKDAY($A1618,2)+1)</f>
        <v/>
      </c>
    </row>
    <row r="1619">
      <c r="A1619" s="5" t="n"/>
      <c r="B1619" s="4" t="n"/>
      <c r="C1619" s="4" t="n"/>
      <c r="D1619" s="4" t="n"/>
      <c r="E1619" s="4" t="n"/>
      <c r="F1619" s="4" t="n"/>
      <c r="G1619" s="4" t="n"/>
      <c r="H1619" s="4" t="n"/>
      <c r="I1619" s="9">
        <f>IF($H1619="","",IFERROR(INDEX('Settings'!$J$10:$J$39,MATCH($H1619,'Settings'!$I$10:$I$39,0)),""))</f>
        <v/>
      </c>
      <c r="J1619" s="6" t="n"/>
      <c r="K1619" s="8" t="n"/>
      <c r="L1619" s="8" t="n"/>
      <c r="M1619" s="14">
        <f>IF($A1619="","",$J1619*$K1619)</f>
        <v/>
      </c>
      <c r="N1619" s="14">
        <f>IF($A1619="","",$M1619-$L1619)</f>
        <v/>
      </c>
      <c r="O1619" s="4" t="n"/>
      <c r="P1619" s="15">
        <f>IF($A1619="","",DATE(YEAR($A1619),MONTH($A1619),1))</f>
        <v/>
      </c>
      <c r="Q1619" s="16">
        <f>IF($H1619="","",$J1619*IFERROR(INDEX('Settings'!$L$10:$L$39,MATCH($H1619,'Settings'!$I$10:$I$39,0)),0))</f>
        <v/>
      </c>
      <c r="R1619" s="17">
        <f>IF($A1619="","",$A1619-WEEKDAY($A1619,2)+1)</f>
        <v/>
      </c>
    </row>
    <row r="1620">
      <c r="A1620" s="5" t="n"/>
      <c r="B1620" s="4" t="n"/>
      <c r="C1620" s="4" t="n"/>
      <c r="D1620" s="4" t="n"/>
      <c r="E1620" s="4" t="n"/>
      <c r="F1620" s="4" t="n"/>
      <c r="G1620" s="4" t="n"/>
      <c r="H1620" s="4" t="n"/>
      <c r="I1620" s="9">
        <f>IF($H1620="","",IFERROR(INDEX('Settings'!$J$10:$J$39,MATCH($H1620,'Settings'!$I$10:$I$39,0)),""))</f>
        <v/>
      </c>
      <c r="J1620" s="6" t="n"/>
      <c r="K1620" s="8" t="n"/>
      <c r="L1620" s="8" t="n"/>
      <c r="M1620" s="14">
        <f>IF($A1620="","",$J1620*$K1620)</f>
        <v/>
      </c>
      <c r="N1620" s="14">
        <f>IF($A1620="","",$M1620-$L1620)</f>
        <v/>
      </c>
      <c r="O1620" s="4" t="n"/>
      <c r="P1620" s="15">
        <f>IF($A1620="","",DATE(YEAR($A1620),MONTH($A1620),1))</f>
        <v/>
      </c>
      <c r="Q1620" s="16">
        <f>IF($H1620="","",$J1620*IFERROR(INDEX('Settings'!$L$10:$L$39,MATCH($H1620,'Settings'!$I$10:$I$39,0)),0))</f>
        <v/>
      </c>
      <c r="R1620" s="17">
        <f>IF($A1620="","",$A1620-WEEKDAY($A1620,2)+1)</f>
        <v/>
      </c>
    </row>
    <row r="1621">
      <c r="A1621" s="5" t="n"/>
      <c r="B1621" s="4" t="n"/>
      <c r="C1621" s="4" t="n"/>
      <c r="D1621" s="4" t="n"/>
      <c r="E1621" s="4" t="n"/>
      <c r="F1621" s="4" t="n"/>
      <c r="G1621" s="4" t="n"/>
      <c r="H1621" s="4" t="n"/>
      <c r="I1621" s="9">
        <f>IF($H1621="","",IFERROR(INDEX('Settings'!$J$10:$J$39,MATCH($H1621,'Settings'!$I$10:$I$39,0)),""))</f>
        <v/>
      </c>
      <c r="J1621" s="6" t="n"/>
      <c r="K1621" s="8" t="n"/>
      <c r="L1621" s="8" t="n"/>
      <c r="M1621" s="14">
        <f>IF($A1621="","",$J1621*$K1621)</f>
        <v/>
      </c>
      <c r="N1621" s="14">
        <f>IF($A1621="","",$M1621-$L1621)</f>
        <v/>
      </c>
      <c r="O1621" s="4" t="n"/>
      <c r="P1621" s="15">
        <f>IF($A1621="","",DATE(YEAR($A1621),MONTH($A1621),1))</f>
        <v/>
      </c>
      <c r="Q1621" s="16">
        <f>IF($H1621="","",$J1621*IFERROR(INDEX('Settings'!$L$10:$L$39,MATCH($H1621,'Settings'!$I$10:$I$39,0)),0))</f>
        <v/>
      </c>
      <c r="R1621" s="17">
        <f>IF($A1621="","",$A1621-WEEKDAY($A1621,2)+1)</f>
        <v/>
      </c>
    </row>
    <row r="1622">
      <c r="A1622" s="5" t="n"/>
      <c r="B1622" s="4" t="n"/>
      <c r="C1622" s="4" t="n"/>
      <c r="D1622" s="4" t="n"/>
      <c r="E1622" s="4" t="n"/>
      <c r="F1622" s="4" t="n"/>
      <c r="G1622" s="4" t="n"/>
      <c r="H1622" s="4" t="n"/>
      <c r="I1622" s="9">
        <f>IF($H1622="","",IFERROR(INDEX('Settings'!$J$10:$J$39,MATCH($H1622,'Settings'!$I$10:$I$39,0)),""))</f>
        <v/>
      </c>
      <c r="J1622" s="6" t="n"/>
      <c r="K1622" s="8" t="n"/>
      <c r="L1622" s="8" t="n"/>
      <c r="M1622" s="14">
        <f>IF($A1622="","",$J1622*$K1622)</f>
        <v/>
      </c>
      <c r="N1622" s="14">
        <f>IF($A1622="","",$M1622-$L1622)</f>
        <v/>
      </c>
      <c r="O1622" s="4" t="n"/>
      <c r="P1622" s="15">
        <f>IF($A1622="","",DATE(YEAR($A1622),MONTH($A1622),1))</f>
        <v/>
      </c>
      <c r="Q1622" s="16">
        <f>IF($H1622="","",$J1622*IFERROR(INDEX('Settings'!$L$10:$L$39,MATCH($H1622,'Settings'!$I$10:$I$39,0)),0))</f>
        <v/>
      </c>
      <c r="R1622" s="17">
        <f>IF($A1622="","",$A1622-WEEKDAY($A1622,2)+1)</f>
        <v/>
      </c>
    </row>
    <row r="1623">
      <c r="A1623" s="5" t="n"/>
      <c r="B1623" s="4" t="n"/>
      <c r="C1623" s="4" t="n"/>
      <c r="D1623" s="4" t="n"/>
      <c r="E1623" s="4" t="n"/>
      <c r="F1623" s="4" t="n"/>
      <c r="G1623" s="4" t="n"/>
      <c r="H1623" s="4" t="n"/>
      <c r="I1623" s="9">
        <f>IF($H1623="","",IFERROR(INDEX('Settings'!$J$10:$J$39,MATCH($H1623,'Settings'!$I$10:$I$39,0)),""))</f>
        <v/>
      </c>
      <c r="J1623" s="6" t="n"/>
      <c r="K1623" s="8" t="n"/>
      <c r="L1623" s="8" t="n"/>
      <c r="M1623" s="14">
        <f>IF($A1623="","",$J1623*$K1623)</f>
        <v/>
      </c>
      <c r="N1623" s="14">
        <f>IF($A1623="","",$M1623-$L1623)</f>
        <v/>
      </c>
      <c r="O1623" s="4" t="n"/>
      <c r="P1623" s="15">
        <f>IF($A1623="","",DATE(YEAR($A1623),MONTH($A1623),1))</f>
        <v/>
      </c>
      <c r="Q1623" s="16">
        <f>IF($H1623="","",$J1623*IFERROR(INDEX('Settings'!$L$10:$L$39,MATCH($H1623,'Settings'!$I$10:$I$39,0)),0))</f>
        <v/>
      </c>
      <c r="R1623" s="17">
        <f>IF($A1623="","",$A1623-WEEKDAY($A1623,2)+1)</f>
        <v/>
      </c>
    </row>
    <row r="1624">
      <c r="A1624" s="5" t="n"/>
      <c r="B1624" s="4" t="n"/>
      <c r="C1624" s="4" t="n"/>
      <c r="D1624" s="4" t="n"/>
      <c r="E1624" s="4" t="n"/>
      <c r="F1624" s="4" t="n"/>
      <c r="G1624" s="4" t="n"/>
      <c r="H1624" s="4" t="n"/>
      <c r="I1624" s="9">
        <f>IF($H1624="","",IFERROR(INDEX('Settings'!$J$10:$J$39,MATCH($H1624,'Settings'!$I$10:$I$39,0)),""))</f>
        <v/>
      </c>
      <c r="J1624" s="6" t="n"/>
      <c r="K1624" s="8" t="n"/>
      <c r="L1624" s="8" t="n"/>
      <c r="M1624" s="14">
        <f>IF($A1624="","",$J1624*$K1624)</f>
        <v/>
      </c>
      <c r="N1624" s="14">
        <f>IF($A1624="","",$M1624-$L1624)</f>
        <v/>
      </c>
      <c r="O1624" s="4" t="n"/>
      <c r="P1624" s="15">
        <f>IF($A1624="","",DATE(YEAR($A1624),MONTH($A1624),1))</f>
        <v/>
      </c>
      <c r="Q1624" s="16">
        <f>IF($H1624="","",$J1624*IFERROR(INDEX('Settings'!$L$10:$L$39,MATCH($H1624,'Settings'!$I$10:$I$39,0)),0))</f>
        <v/>
      </c>
      <c r="R1624" s="17">
        <f>IF($A1624="","",$A1624-WEEKDAY($A1624,2)+1)</f>
        <v/>
      </c>
    </row>
    <row r="1625">
      <c r="A1625" s="5" t="n"/>
      <c r="B1625" s="4" t="n"/>
      <c r="C1625" s="4" t="n"/>
      <c r="D1625" s="4" t="n"/>
      <c r="E1625" s="4" t="n"/>
      <c r="F1625" s="4" t="n"/>
      <c r="G1625" s="4" t="n"/>
      <c r="H1625" s="4" t="n"/>
      <c r="I1625" s="9">
        <f>IF($H1625="","",IFERROR(INDEX('Settings'!$J$10:$J$39,MATCH($H1625,'Settings'!$I$10:$I$39,0)),""))</f>
        <v/>
      </c>
      <c r="J1625" s="6" t="n"/>
      <c r="K1625" s="8" t="n"/>
      <c r="L1625" s="8" t="n"/>
      <c r="M1625" s="14">
        <f>IF($A1625="","",$J1625*$K1625)</f>
        <v/>
      </c>
      <c r="N1625" s="14">
        <f>IF($A1625="","",$M1625-$L1625)</f>
        <v/>
      </c>
      <c r="O1625" s="4" t="n"/>
      <c r="P1625" s="15">
        <f>IF($A1625="","",DATE(YEAR($A1625),MONTH($A1625),1))</f>
        <v/>
      </c>
      <c r="Q1625" s="16">
        <f>IF($H1625="","",$J1625*IFERROR(INDEX('Settings'!$L$10:$L$39,MATCH($H1625,'Settings'!$I$10:$I$39,0)),0))</f>
        <v/>
      </c>
      <c r="R1625" s="17">
        <f>IF($A1625="","",$A1625-WEEKDAY($A1625,2)+1)</f>
        <v/>
      </c>
    </row>
    <row r="1626">
      <c r="A1626" s="5" t="n"/>
      <c r="B1626" s="4" t="n"/>
      <c r="C1626" s="4" t="n"/>
      <c r="D1626" s="4" t="n"/>
      <c r="E1626" s="4" t="n"/>
      <c r="F1626" s="4" t="n"/>
      <c r="G1626" s="4" t="n"/>
      <c r="H1626" s="4" t="n"/>
      <c r="I1626" s="9">
        <f>IF($H1626="","",IFERROR(INDEX('Settings'!$J$10:$J$39,MATCH($H1626,'Settings'!$I$10:$I$39,0)),""))</f>
        <v/>
      </c>
      <c r="J1626" s="6" t="n"/>
      <c r="K1626" s="8" t="n"/>
      <c r="L1626" s="8" t="n"/>
      <c r="M1626" s="14">
        <f>IF($A1626="","",$J1626*$K1626)</f>
        <v/>
      </c>
      <c r="N1626" s="14">
        <f>IF($A1626="","",$M1626-$L1626)</f>
        <v/>
      </c>
      <c r="O1626" s="4" t="n"/>
      <c r="P1626" s="15">
        <f>IF($A1626="","",DATE(YEAR($A1626),MONTH($A1626),1))</f>
        <v/>
      </c>
      <c r="Q1626" s="16">
        <f>IF($H1626="","",$J1626*IFERROR(INDEX('Settings'!$L$10:$L$39,MATCH($H1626,'Settings'!$I$10:$I$39,0)),0))</f>
        <v/>
      </c>
      <c r="R1626" s="17">
        <f>IF($A1626="","",$A1626-WEEKDAY($A1626,2)+1)</f>
        <v/>
      </c>
    </row>
    <row r="1627">
      <c r="A1627" s="5" t="n"/>
      <c r="B1627" s="4" t="n"/>
      <c r="C1627" s="4" t="n"/>
      <c r="D1627" s="4" t="n"/>
      <c r="E1627" s="4" t="n"/>
      <c r="F1627" s="4" t="n"/>
      <c r="G1627" s="4" t="n"/>
      <c r="H1627" s="4" t="n"/>
      <c r="I1627" s="9">
        <f>IF($H1627="","",IFERROR(INDEX('Settings'!$J$10:$J$39,MATCH($H1627,'Settings'!$I$10:$I$39,0)),""))</f>
        <v/>
      </c>
      <c r="J1627" s="6" t="n"/>
      <c r="K1627" s="8" t="n"/>
      <c r="L1627" s="8" t="n"/>
      <c r="M1627" s="14">
        <f>IF($A1627="","",$J1627*$K1627)</f>
        <v/>
      </c>
      <c r="N1627" s="14">
        <f>IF($A1627="","",$M1627-$L1627)</f>
        <v/>
      </c>
      <c r="O1627" s="4" t="n"/>
      <c r="P1627" s="15">
        <f>IF($A1627="","",DATE(YEAR($A1627),MONTH($A1627),1))</f>
        <v/>
      </c>
      <c r="Q1627" s="16">
        <f>IF($H1627="","",$J1627*IFERROR(INDEX('Settings'!$L$10:$L$39,MATCH($H1627,'Settings'!$I$10:$I$39,0)),0))</f>
        <v/>
      </c>
      <c r="R1627" s="17">
        <f>IF($A1627="","",$A1627-WEEKDAY($A1627,2)+1)</f>
        <v/>
      </c>
    </row>
    <row r="1628">
      <c r="A1628" s="5" t="n"/>
      <c r="B1628" s="4" t="n"/>
      <c r="C1628" s="4" t="n"/>
      <c r="D1628" s="4" t="n"/>
      <c r="E1628" s="4" t="n"/>
      <c r="F1628" s="4" t="n"/>
      <c r="G1628" s="4" t="n"/>
      <c r="H1628" s="4" t="n"/>
      <c r="I1628" s="9">
        <f>IF($H1628="","",IFERROR(INDEX('Settings'!$J$10:$J$39,MATCH($H1628,'Settings'!$I$10:$I$39,0)),""))</f>
        <v/>
      </c>
      <c r="J1628" s="6" t="n"/>
      <c r="K1628" s="8" t="n"/>
      <c r="L1628" s="8" t="n"/>
      <c r="M1628" s="14">
        <f>IF($A1628="","",$J1628*$K1628)</f>
        <v/>
      </c>
      <c r="N1628" s="14">
        <f>IF($A1628="","",$M1628-$L1628)</f>
        <v/>
      </c>
      <c r="O1628" s="4" t="n"/>
      <c r="P1628" s="15">
        <f>IF($A1628="","",DATE(YEAR($A1628),MONTH($A1628),1))</f>
        <v/>
      </c>
      <c r="Q1628" s="16">
        <f>IF($H1628="","",$J1628*IFERROR(INDEX('Settings'!$L$10:$L$39,MATCH($H1628,'Settings'!$I$10:$I$39,0)),0))</f>
        <v/>
      </c>
      <c r="R1628" s="17">
        <f>IF($A1628="","",$A1628-WEEKDAY($A1628,2)+1)</f>
        <v/>
      </c>
    </row>
    <row r="1629">
      <c r="A1629" s="5" t="n"/>
      <c r="B1629" s="4" t="n"/>
      <c r="C1629" s="4" t="n"/>
      <c r="D1629" s="4" t="n"/>
      <c r="E1629" s="4" t="n"/>
      <c r="F1629" s="4" t="n"/>
      <c r="G1629" s="4" t="n"/>
      <c r="H1629" s="4" t="n"/>
      <c r="I1629" s="9">
        <f>IF($H1629="","",IFERROR(INDEX('Settings'!$J$10:$J$39,MATCH($H1629,'Settings'!$I$10:$I$39,0)),""))</f>
        <v/>
      </c>
      <c r="J1629" s="6" t="n"/>
      <c r="K1629" s="8" t="n"/>
      <c r="L1629" s="8" t="n"/>
      <c r="M1629" s="14">
        <f>IF($A1629="","",$J1629*$K1629)</f>
        <v/>
      </c>
      <c r="N1629" s="14">
        <f>IF($A1629="","",$M1629-$L1629)</f>
        <v/>
      </c>
      <c r="O1629" s="4" t="n"/>
      <c r="P1629" s="15">
        <f>IF($A1629="","",DATE(YEAR($A1629),MONTH($A1629),1))</f>
        <v/>
      </c>
      <c r="Q1629" s="16">
        <f>IF($H1629="","",$J1629*IFERROR(INDEX('Settings'!$L$10:$L$39,MATCH($H1629,'Settings'!$I$10:$I$39,0)),0))</f>
        <v/>
      </c>
      <c r="R1629" s="17">
        <f>IF($A1629="","",$A1629-WEEKDAY($A1629,2)+1)</f>
        <v/>
      </c>
    </row>
    <row r="1630">
      <c r="A1630" s="5" t="n"/>
      <c r="B1630" s="4" t="n"/>
      <c r="C1630" s="4" t="n"/>
      <c r="D1630" s="4" t="n"/>
      <c r="E1630" s="4" t="n"/>
      <c r="F1630" s="4" t="n"/>
      <c r="G1630" s="4" t="n"/>
      <c r="H1630" s="4" t="n"/>
      <c r="I1630" s="9">
        <f>IF($H1630="","",IFERROR(INDEX('Settings'!$J$10:$J$39,MATCH($H1630,'Settings'!$I$10:$I$39,0)),""))</f>
        <v/>
      </c>
      <c r="J1630" s="6" t="n"/>
      <c r="K1630" s="8" t="n"/>
      <c r="L1630" s="8" t="n"/>
      <c r="M1630" s="14">
        <f>IF($A1630="","",$J1630*$K1630)</f>
        <v/>
      </c>
      <c r="N1630" s="14">
        <f>IF($A1630="","",$M1630-$L1630)</f>
        <v/>
      </c>
      <c r="O1630" s="4" t="n"/>
      <c r="P1630" s="15">
        <f>IF($A1630="","",DATE(YEAR($A1630),MONTH($A1630),1))</f>
        <v/>
      </c>
      <c r="Q1630" s="16">
        <f>IF($H1630="","",$J1630*IFERROR(INDEX('Settings'!$L$10:$L$39,MATCH($H1630,'Settings'!$I$10:$I$39,0)),0))</f>
        <v/>
      </c>
      <c r="R1630" s="17">
        <f>IF($A1630="","",$A1630-WEEKDAY($A1630,2)+1)</f>
        <v/>
      </c>
    </row>
    <row r="1631">
      <c r="A1631" s="5" t="n"/>
      <c r="B1631" s="4" t="n"/>
      <c r="C1631" s="4" t="n"/>
      <c r="D1631" s="4" t="n"/>
      <c r="E1631" s="4" t="n"/>
      <c r="F1631" s="4" t="n"/>
      <c r="G1631" s="4" t="n"/>
      <c r="H1631" s="4" t="n"/>
      <c r="I1631" s="9">
        <f>IF($H1631="","",IFERROR(INDEX('Settings'!$J$10:$J$39,MATCH($H1631,'Settings'!$I$10:$I$39,0)),""))</f>
        <v/>
      </c>
      <c r="J1631" s="6" t="n"/>
      <c r="K1631" s="8" t="n"/>
      <c r="L1631" s="8" t="n"/>
      <c r="M1631" s="14">
        <f>IF($A1631="","",$J1631*$K1631)</f>
        <v/>
      </c>
      <c r="N1631" s="14">
        <f>IF($A1631="","",$M1631-$L1631)</f>
        <v/>
      </c>
      <c r="O1631" s="4" t="n"/>
      <c r="P1631" s="15">
        <f>IF($A1631="","",DATE(YEAR($A1631),MONTH($A1631),1))</f>
        <v/>
      </c>
      <c r="Q1631" s="16">
        <f>IF($H1631="","",$J1631*IFERROR(INDEX('Settings'!$L$10:$L$39,MATCH($H1631,'Settings'!$I$10:$I$39,0)),0))</f>
        <v/>
      </c>
      <c r="R1631" s="17">
        <f>IF($A1631="","",$A1631-WEEKDAY($A1631,2)+1)</f>
        <v/>
      </c>
    </row>
    <row r="1632">
      <c r="A1632" s="5" t="n"/>
      <c r="B1632" s="4" t="n"/>
      <c r="C1632" s="4" t="n"/>
      <c r="D1632" s="4" t="n"/>
      <c r="E1632" s="4" t="n"/>
      <c r="F1632" s="4" t="n"/>
      <c r="G1632" s="4" t="n"/>
      <c r="H1632" s="4" t="n"/>
      <c r="I1632" s="9">
        <f>IF($H1632="","",IFERROR(INDEX('Settings'!$J$10:$J$39,MATCH($H1632,'Settings'!$I$10:$I$39,0)),""))</f>
        <v/>
      </c>
      <c r="J1632" s="6" t="n"/>
      <c r="K1632" s="8" t="n"/>
      <c r="L1632" s="8" t="n"/>
      <c r="M1632" s="14">
        <f>IF($A1632="","",$J1632*$K1632)</f>
        <v/>
      </c>
      <c r="N1632" s="14">
        <f>IF($A1632="","",$M1632-$L1632)</f>
        <v/>
      </c>
      <c r="O1632" s="4" t="n"/>
      <c r="P1632" s="15">
        <f>IF($A1632="","",DATE(YEAR($A1632),MONTH($A1632),1))</f>
        <v/>
      </c>
      <c r="Q1632" s="16">
        <f>IF($H1632="","",$J1632*IFERROR(INDEX('Settings'!$L$10:$L$39,MATCH($H1632,'Settings'!$I$10:$I$39,0)),0))</f>
        <v/>
      </c>
      <c r="R1632" s="17">
        <f>IF($A1632="","",$A1632-WEEKDAY($A1632,2)+1)</f>
        <v/>
      </c>
    </row>
    <row r="1633">
      <c r="A1633" s="5" t="n"/>
      <c r="B1633" s="4" t="n"/>
      <c r="C1633" s="4" t="n"/>
      <c r="D1633" s="4" t="n"/>
      <c r="E1633" s="4" t="n"/>
      <c r="F1633" s="4" t="n"/>
      <c r="G1633" s="4" t="n"/>
      <c r="H1633" s="4" t="n"/>
      <c r="I1633" s="9">
        <f>IF($H1633="","",IFERROR(INDEX('Settings'!$J$10:$J$39,MATCH($H1633,'Settings'!$I$10:$I$39,0)),""))</f>
        <v/>
      </c>
      <c r="J1633" s="6" t="n"/>
      <c r="K1633" s="8" t="n"/>
      <c r="L1633" s="8" t="n"/>
      <c r="M1633" s="14">
        <f>IF($A1633="","",$J1633*$K1633)</f>
        <v/>
      </c>
      <c r="N1633" s="14">
        <f>IF($A1633="","",$M1633-$L1633)</f>
        <v/>
      </c>
      <c r="O1633" s="4" t="n"/>
      <c r="P1633" s="15">
        <f>IF($A1633="","",DATE(YEAR($A1633),MONTH($A1633),1))</f>
        <v/>
      </c>
      <c r="Q1633" s="16">
        <f>IF($H1633="","",$J1633*IFERROR(INDEX('Settings'!$L$10:$L$39,MATCH($H1633,'Settings'!$I$10:$I$39,0)),0))</f>
        <v/>
      </c>
      <c r="R1633" s="17">
        <f>IF($A1633="","",$A1633-WEEKDAY($A1633,2)+1)</f>
        <v/>
      </c>
    </row>
    <row r="1634">
      <c r="A1634" s="5" t="n"/>
      <c r="B1634" s="4" t="n"/>
      <c r="C1634" s="4" t="n"/>
      <c r="D1634" s="4" t="n"/>
      <c r="E1634" s="4" t="n"/>
      <c r="F1634" s="4" t="n"/>
      <c r="G1634" s="4" t="n"/>
      <c r="H1634" s="4" t="n"/>
      <c r="I1634" s="9">
        <f>IF($H1634="","",IFERROR(INDEX('Settings'!$J$10:$J$39,MATCH($H1634,'Settings'!$I$10:$I$39,0)),""))</f>
        <v/>
      </c>
      <c r="J1634" s="6" t="n"/>
      <c r="K1634" s="8" t="n"/>
      <c r="L1634" s="8" t="n"/>
      <c r="M1634" s="14">
        <f>IF($A1634="","",$J1634*$K1634)</f>
        <v/>
      </c>
      <c r="N1634" s="14">
        <f>IF($A1634="","",$M1634-$L1634)</f>
        <v/>
      </c>
      <c r="O1634" s="4" t="n"/>
      <c r="P1634" s="15">
        <f>IF($A1634="","",DATE(YEAR($A1634),MONTH($A1634),1))</f>
        <v/>
      </c>
      <c r="Q1634" s="16">
        <f>IF($H1634="","",$J1634*IFERROR(INDEX('Settings'!$L$10:$L$39,MATCH($H1634,'Settings'!$I$10:$I$39,0)),0))</f>
        <v/>
      </c>
      <c r="R1634" s="17">
        <f>IF($A1634="","",$A1634-WEEKDAY($A1634,2)+1)</f>
        <v/>
      </c>
    </row>
    <row r="1635">
      <c r="A1635" s="5" t="n"/>
      <c r="B1635" s="4" t="n"/>
      <c r="C1635" s="4" t="n"/>
      <c r="D1635" s="4" t="n"/>
      <c r="E1635" s="4" t="n"/>
      <c r="F1635" s="4" t="n"/>
      <c r="G1635" s="4" t="n"/>
      <c r="H1635" s="4" t="n"/>
      <c r="I1635" s="9">
        <f>IF($H1635="","",IFERROR(INDEX('Settings'!$J$10:$J$39,MATCH($H1635,'Settings'!$I$10:$I$39,0)),""))</f>
        <v/>
      </c>
      <c r="J1635" s="6" t="n"/>
      <c r="K1635" s="8" t="n"/>
      <c r="L1635" s="8" t="n"/>
      <c r="M1635" s="14">
        <f>IF($A1635="","",$J1635*$K1635)</f>
        <v/>
      </c>
      <c r="N1635" s="14">
        <f>IF($A1635="","",$M1635-$L1635)</f>
        <v/>
      </c>
      <c r="O1635" s="4" t="n"/>
      <c r="P1635" s="15">
        <f>IF($A1635="","",DATE(YEAR($A1635),MONTH($A1635),1))</f>
        <v/>
      </c>
      <c r="Q1635" s="16">
        <f>IF($H1635="","",$J1635*IFERROR(INDEX('Settings'!$L$10:$L$39,MATCH($H1635,'Settings'!$I$10:$I$39,0)),0))</f>
        <v/>
      </c>
      <c r="R1635" s="17">
        <f>IF($A1635="","",$A1635-WEEKDAY($A1635,2)+1)</f>
        <v/>
      </c>
    </row>
    <row r="1636">
      <c r="A1636" s="5" t="n"/>
      <c r="B1636" s="4" t="n"/>
      <c r="C1636" s="4" t="n"/>
      <c r="D1636" s="4" t="n"/>
      <c r="E1636" s="4" t="n"/>
      <c r="F1636" s="4" t="n"/>
      <c r="G1636" s="4" t="n"/>
      <c r="H1636" s="4" t="n"/>
      <c r="I1636" s="9">
        <f>IF($H1636="","",IFERROR(INDEX('Settings'!$J$10:$J$39,MATCH($H1636,'Settings'!$I$10:$I$39,0)),""))</f>
        <v/>
      </c>
      <c r="J1636" s="6" t="n"/>
      <c r="K1636" s="8" t="n"/>
      <c r="L1636" s="8" t="n"/>
      <c r="M1636" s="14">
        <f>IF($A1636="","",$J1636*$K1636)</f>
        <v/>
      </c>
      <c r="N1636" s="14">
        <f>IF($A1636="","",$M1636-$L1636)</f>
        <v/>
      </c>
      <c r="O1636" s="4" t="n"/>
      <c r="P1636" s="15">
        <f>IF($A1636="","",DATE(YEAR($A1636),MONTH($A1636),1))</f>
        <v/>
      </c>
      <c r="Q1636" s="16">
        <f>IF($H1636="","",$J1636*IFERROR(INDEX('Settings'!$L$10:$L$39,MATCH($H1636,'Settings'!$I$10:$I$39,0)),0))</f>
        <v/>
      </c>
      <c r="R1636" s="17">
        <f>IF($A1636="","",$A1636-WEEKDAY($A1636,2)+1)</f>
        <v/>
      </c>
    </row>
    <row r="1637">
      <c r="A1637" s="5" t="n"/>
      <c r="B1637" s="4" t="n"/>
      <c r="C1637" s="4" t="n"/>
      <c r="D1637" s="4" t="n"/>
      <c r="E1637" s="4" t="n"/>
      <c r="F1637" s="4" t="n"/>
      <c r="G1637" s="4" t="n"/>
      <c r="H1637" s="4" t="n"/>
      <c r="I1637" s="9">
        <f>IF($H1637="","",IFERROR(INDEX('Settings'!$J$10:$J$39,MATCH($H1637,'Settings'!$I$10:$I$39,0)),""))</f>
        <v/>
      </c>
      <c r="J1637" s="6" t="n"/>
      <c r="K1637" s="8" t="n"/>
      <c r="L1637" s="8" t="n"/>
      <c r="M1637" s="14">
        <f>IF($A1637="","",$J1637*$K1637)</f>
        <v/>
      </c>
      <c r="N1637" s="14">
        <f>IF($A1637="","",$M1637-$L1637)</f>
        <v/>
      </c>
      <c r="O1637" s="4" t="n"/>
      <c r="P1637" s="15">
        <f>IF($A1637="","",DATE(YEAR($A1637),MONTH($A1637),1))</f>
        <v/>
      </c>
      <c r="Q1637" s="16">
        <f>IF($H1637="","",$J1637*IFERROR(INDEX('Settings'!$L$10:$L$39,MATCH($H1637,'Settings'!$I$10:$I$39,0)),0))</f>
        <v/>
      </c>
      <c r="R1637" s="17">
        <f>IF($A1637="","",$A1637-WEEKDAY($A1637,2)+1)</f>
        <v/>
      </c>
    </row>
    <row r="1638">
      <c r="A1638" s="5" t="n"/>
      <c r="B1638" s="4" t="n"/>
      <c r="C1638" s="4" t="n"/>
      <c r="D1638" s="4" t="n"/>
      <c r="E1638" s="4" t="n"/>
      <c r="F1638" s="4" t="n"/>
      <c r="G1638" s="4" t="n"/>
      <c r="H1638" s="4" t="n"/>
      <c r="I1638" s="9">
        <f>IF($H1638="","",IFERROR(INDEX('Settings'!$J$10:$J$39,MATCH($H1638,'Settings'!$I$10:$I$39,0)),""))</f>
        <v/>
      </c>
      <c r="J1638" s="6" t="n"/>
      <c r="K1638" s="8" t="n"/>
      <c r="L1638" s="8" t="n"/>
      <c r="M1638" s="14">
        <f>IF($A1638="","",$J1638*$K1638)</f>
        <v/>
      </c>
      <c r="N1638" s="14">
        <f>IF($A1638="","",$M1638-$L1638)</f>
        <v/>
      </c>
      <c r="O1638" s="4" t="n"/>
      <c r="P1638" s="15">
        <f>IF($A1638="","",DATE(YEAR($A1638),MONTH($A1638),1))</f>
        <v/>
      </c>
      <c r="Q1638" s="16">
        <f>IF($H1638="","",$J1638*IFERROR(INDEX('Settings'!$L$10:$L$39,MATCH($H1638,'Settings'!$I$10:$I$39,0)),0))</f>
        <v/>
      </c>
      <c r="R1638" s="17">
        <f>IF($A1638="","",$A1638-WEEKDAY($A1638,2)+1)</f>
        <v/>
      </c>
    </row>
    <row r="1639">
      <c r="A1639" s="5" t="n"/>
      <c r="B1639" s="4" t="n"/>
      <c r="C1639" s="4" t="n"/>
      <c r="D1639" s="4" t="n"/>
      <c r="E1639" s="4" t="n"/>
      <c r="F1639" s="4" t="n"/>
      <c r="G1639" s="4" t="n"/>
      <c r="H1639" s="4" t="n"/>
      <c r="I1639" s="9">
        <f>IF($H1639="","",IFERROR(INDEX('Settings'!$J$10:$J$39,MATCH($H1639,'Settings'!$I$10:$I$39,0)),""))</f>
        <v/>
      </c>
      <c r="J1639" s="6" t="n"/>
      <c r="K1639" s="8" t="n"/>
      <c r="L1639" s="8" t="n"/>
      <c r="M1639" s="14">
        <f>IF($A1639="","",$J1639*$K1639)</f>
        <v/>
      </c>
      <c r="N1639" s="14">
        <f>IF($A1639="","",$M1639-$L1639)</f>
        <v/>
      </c>
      <c r="O1639" s="4" t="n"/>
      <c r="P1639" s="15">
        <f>IF($A1639="","",DATE(YEAR($A1639),MONTH($A1639),1))</f>
        <v/>
      </c>
      <c r="Q1639" s="16">
        <f>IF($H1639="","",$J1639*IFERROR(INDEX('Settings'!$L$10:$L$39,MATCH($H1639,'Settings'!$I$10:$I$39,0)),0))</f>
        <v/>
      </c>
      <c r="R1639" s="17">
        <f>IF($A1639="","",$A1639-WEEKDAY($A1639,2)+1)</f>
        <v/>
      </c>
    </row>
    <row r="1640">
      <c r="A1640" s="5" t="n"/>
      <c r="B1640" s="4" t="n"/>
      <c r="C1640" s="4" t="n"/>
      <c r="D1640" s="4" t="n"/>
      <c r="E1640" s="4" t="n"/>
      <c r="F1640" s="4" t="n"/>
      <c r="G1640" s="4" t="n"/>
      <c r="H1640" s="4" t="n"/>
      <c r="I1640" s="9">
        <f>IF($H1640="","",IFERROR(INDEX('Settings'!$J$10:$J$39,MATCH($H1640,'Settings'!$I$10:$I$39,0)),""))</f>
        <v/>
      </c>
      <c r="J1640" s="6" t="n"/>
      <c r="K1640" s="8" t="n"/>
      <c r="L1640" s="8" t="n"/>
      <c r="M1640" s="14">
        <f>IF($A1640="","",$J1640*$K1640)</f>
        <v/>
      </c>
      <c r="N1640" s="14">
        <f>IF($A1640="","",$M1640-$L1640)</f>
        <v/>
      </c>
      <c r="O1640" s="4" t="n"/>
      <c r="P1640" s="15">
        <f>IF($A1640="","",DATE(YEAR($A1640),MONTH($A1640),1))</f>
        <v/>
      </c>
      <c r="Q1640" s="16">
        <f>IF($H1640="","",$J1640*IFERROR(INDEX('Settings'!$L$10:$L$39,MATCH($H1640,'Settings'!$I$10:$I$39,0)),0))</f>
        <v/>
      </c>
      <c r="R1640" s="17">
        <f>IF($A1640="","",$A1640-WEEKDAY($A1640,2)+1)</f>
        <v/>
      </c>
    </row>
    <row r="1641">
      <c r="A1641" s="5" t="n"/>
      <c r="B1641" s="4" t="n"/>
      <c r="C1641" s="4" t="n"/>
      <c r="D1641" s="4" t="n"/>
      <c r="E1641" s="4" t="n"/>
      <c r="F1641" s="4" t="n"/>
      <c r="G1641" s="4" t="n"/>
      <c r="H1641" s="4" t="n"/>
      <c r="I1641" s="9">
        <f>IF($H1641="","",IFERROR(INDEX('Settings'!$J$10:$J$39,MATCH($H1641,'Settings'!$I$10:$I$39,0)),""))</f>
        <v/>
      </c>
      <c r="J1641" s="6" t="n"/>
      <c r="K1641" s="8" t="n"/>
      <c r="L1641" s="8" t="n"/>
      <c r="M1641" s="14">
        <f>IF($A1641="","",$J1641*$K1641)</f>
        <v/>
      </c>
      <c r="N1641" s="14">
        <f>IF($A1641="","",$M1641-$L1641)</f>
        <v/>
      </c>
      <c r="O1641" s="4" t="n"/>
      <c r="P1641" s="15">
        <f>IF($A1641="","",DATE(YEAR($A1641),MONTH($A1641),1))</f>
        <v/>
      </c>
      <c r="Q1641" s="16">
        <f>IF($H1641="","",$J1641*IFERROR(INDEX('Settings'!$L$10:$L$39,MATCH($H1641,'Settings'!$I$10:$I$39,0)),0))</f>
        <v/>
      </c>
      <c r="R1641" s="17">
        <f>IF($A1641="","",$A1641-WEEKDAY($A1641,2)+1)</f>
        <v/>
      </c>
    </row>
    <row r="1642">
      <c r="A1642" s="5" t="n"/>
      <c r="B1642" s="4" t="n"/>
      <c r="C1642" s="4" t="n"/>
      <c r="D1642" s="4" t="n"/>
      <c r="E1642" s="4" t="n"/>
      <c r="F1642" s="4" t="n"/>
      <c r="G1642" s="4" t="n"/>
      <c r="H1642" s="4" t="n"/>
      <c r="I1642" s="9">
        <f>IF($H1642="","",IFERROR(INDEX('Settings'!$J$10:$J$39,MATCH($H1642,'Settings'!$I$10:$I$39,0)),""))</f>
        <v/>
      </c>
      <c r="J1642" s="6" t="n"/>
      <c r="K1642" s="8" t="n"/>
      <c r="L1642" s="8" t="n"/>
      <c r="M1642" s="14">
        <f>IF($A1642="","",$J1642*$K1642)</f>
        <v/>
      </c>
      <c r="N1642" s="14">
        <f>IF($A1642="","",$M1642-$L1642)</f>
        <v/>
      </c>
      <c r="O1642" s="4" t="n"/>
      <c r="P1642" s="15">
        <f>IF($A1642="","",DATE(YEAR($A1642),MONTH($A1642),1))</f>
        <v/>
      </c>
      <c r="Q1642" s="16">
        <f>IF($H1642="","",$J1642*IFERROR(INDEX('Settings'!$L$10:$L$39,MATCH($H1642,'Settings'!$I$10:$I$39,0)),0))</f>
        <v/>
      </c>
      <c r="R1642" s="17">
        <f>IF($A1642="","",$A1642-WEEKDAY($A1642,2)+1)</f>
        <v/>
      </c>
    </row>
    <row r="1643">
      <c r="A1643" s="5" t="n"/>
      <c r="B1643" s="4" t="n"/>
      <c r="C1643" s="4" t="n"/>
      <c r="D1643" s="4" t="n"/>
      <c r="E1643" s="4" t="n"/>
      <c r="F1643" s="4" t="n"/>
      <c r="G1643" s="4" t="n"/>
      <c r="H1643" s="4" t="n"/>
      <c r="I1643" s="9">
        <f>IF($H1643="","",IFERROR(INDEX('Settings'!$J$10:$J$39,MATCH($H1643,'Settings'!$I$10:$I$39,0)),""))</f>
        <v/>
      </c>
      <c r="J1643" s="6" t="n"/>
      <c r="K1643" s="8" t="n"/>
      <c r="L1643" s="8" t="n"/>
      <c r="M1643" s="14">
        <f>IF($A1643="","",$J1643*$K1643)</f>
        <v/>
      </c>
      <c r="N1643" s="14">
        <f>IF($A1643="","",$M1643-$L1643)</f>
        <v/>
      </c>
      <c r="O1643" s="4" t="n"/>
      <c r="P1643" s="15">
        <f>IF($A1643="","",DATE(YEAR($A1643),MONTH($A1643),1))</f>
        <v/>
      </c>
      <c r="Q1643" s="16">
        <f>IF($H1643="","",$J1643*IFERROR(INDEX('Settings'!$L$10:$L$39,MATCH($H1643,'Settings'!$I$10:$I$39,0)),0))</f>
        <v/>
      </c>
      <c r="R1643" s="17">
        <f>IF($A1643="","",$A1643-WEEKDAY($A1643,2)+1)</f>
        <v/>
      </c>
    </row>
    <row r="1644">
      <c r="A1644" s="5" t="n"/>
      <c r="B1644" s="4" t="n"/>
      <c r="C1644" s="4" t="n"/>
      <c r="D1644" s="4" t="n"/>
      <c r="E1644" s="4" t="n"/>
      <c r="F1644" s="4" t="n"/>
      <c r="G1644" s="4" t="n"/>
      <c r="H1644" s="4" t="n"/>
      <c r="I1644" s="9">
        <f>IF($H1644="","",IFERROR(INDEX('Settings'!$J$10:$J$39,MATCH($H1644,'Settings'!$I$10:$I$39,0)),""))</f>
        <v/>
      </c>
      <c r="J1644" s="6" t="n"/>
      <c r="K1644" s="8" t="n"/>
      <c r="L1644" s="8" t="n"/>
      <c r="M1644" s="14">
        <f>IF($A1644="","",$J1644*$K1644)</f>
        <v/>
      </c>
      <c r="N1644" s="14">
        <f>IF($A1644="","",$M1644-$L1644)</f>
        <v/>
      </c>
      <c r="O1644" s="4" t="n"/>
      <c r="P1644" s="15">
        <f>IF($A1644="","",DATE(YEAR($A1644),MONTH($A1644),1))</f>
        <v/>
      </c>
      <c r="Q1644" s="16">
        <f>IF($H1644="","",$J1644*IFERROR(INDEX('Settings'!$L$10:$L$39,MATCH($H1644,'Settings'!$I$10:$I$39,0)),0))</f>
        <v/>
      </c>
      <c r="R1644" s="17">
        <f>IF($A1644="","",$A1644-WEEKDAY($A1644,2)+1)</f>
        <v/>
      </c>
    </row>
    <row r="1645">
      <c r="A1645" s="5" t="n"/>
      <c r="B1645" s="4" t="n"/>
      <c r="C1645" s="4" t="n"/>
      <c r="D1645" s="4" t="n"/>
      <c r="E1645" s="4" t="n"/>
      <c r="F1645" s="4" t="n"/>
      <c r="G1645" s="4" t="n"/>
      <c r="H1645" s="4" t="n"/>
      <c r="I1645" s="9">
        <f>IF($H1645="","",IFERROR(INDEX('Settings'!$J$10:$J$39,MATCH($H1645,'Settings'!$I$10:$I$39,0)),""))</f>
        <v/>
      </c>
      <c r="J1645" s="6" t="n"/>
      <c r="K1645" s="8" t="n"/>
      <c r="L1645" s="8" t="n"/>
      <c r="M1645" s="14">
        <f>IF($A1645="","",$J1645*$K1645)</f>
        <v/>
      </c>
      <c r="N1645" s="14">
        <f>IF($A1645="","",$M1645-$L1645)</f>
        <v/>
      </c>
      <c r="O1645" s="4" t="n"/>
      <c r="P1645" s="15">
        <f>IF($A1645="","",DATE(YEAR($A1645),MONTH($A1645),1))</f>
        <v/>
      </c>
      <c r="Q1645" s="16">
        <f>IF($H1645="","",$J1645*IFERROR(INDEX('Settings'!$L$10:$L$39,MATCH($H1645,'Settings'!$I$10:$I$39,0)),0))</f>
        <v/>
      </c>
      <c r="R1645" s="17">
        <f>IF($A1645="","",$A1645-WEEKDAY($A1645,2)+1)</f>
        <v/>
      </c>
    </row>
    <row r="1646">
      <c r="A1646" s="5" t="n"/>
      <c r="B1646" s="4" t="n"/>
      <c r="C1646" s="4" t="n"/>
      <c r="D1646" s="4" t="n"/>
      <c r="E1646" s="4" t="n"/>
      <c r="F1646" s="4" t="n"/>
      <c r="G1646" s="4" t="n"/>
      <c r="H1646" s="4" t="n"/>
      <c r="I1646" s="9">
        <f>IF($H1646="","",IFERROR(INDEX('Settings'!$J$10:$J$39,MATCH($H1646,'Settings'!$I$10:$I$39,0)),""))</f>
        <v/>
      </c>
      <c r="J1646" s="6" t="n"/>
      <c r="K1646" s="8" t="n"/>
      <c r="L1646" s="8" t="n"/>
      <c r="M1646" s="14">
        <f>IF($A1646="","",$J1646*$K1646)</f>
        <v/>
      </c>
      <c r="N1646" s="14">
        <f>IF($A1646="","",$M1646-$L1646)</f>
        <v/>
      </c>
      <c r="O1646" s="4" t="n"/>
      <c r="P1646" s="15">
        <f>IF($A1646="","",DATE(YEAR($A1646),MONTH($A1646),1))</f>
        <v/>
      </c>
      <c r="Q1646" s="16">
        <f>IF($H1646="","",$J1646*IFERROR(INDEX('Settings'!$L$10:$L$39,MATCH($H1646,'Settings'!$I$10:$I$39,0)),0))</f>
        <v/>
      </c>
      <c r="R1646" s="17">
        <f>IF($A1646="","",$A1646-WEEKDAY($A1646,2)+1)</f>
        <v/>
      </c>
    </row>
    <row r="1647">
      <c r="A1647" s="5" t="n"/>
      <c r="B1647" s="4" t="n"/>
      <c r="C1647" s="4" t="n"/>
      <c r="D1647" s="4" t="n"/>
      <c r="E1647" s="4" t="n"/>
      <c r="F1647" s="4" t="n"/>
      <c r="G1647" s="4" t="n"/>
      <c r="H1647" s="4" t="n"/>
      <c r="I1647" s="9">
        <f>IF($H1647="","",IFERROR(INDEX('Settings'!$J$10:$J$39,MATCH($H1647,'Settings'!$I$10:$I$39,0)),""))</f>
        <v/>
      </c>
      <c r="J1647" s="6" t="n"/>
      <c r="K1647" s="8" t="n"/>
      <c r="L1647" s="8" t="n"/>
      <c r="M1647" s="14">
        <f>IF($A1647="","",$J1647*$K1647)</f>
        <v/>
      </c>
      <c r="N1647" s="14">
        <f>IF($A1647="","",$M1647-$L1647)</f>
        <v/>
      </c>
      <c r="O1647" s="4" t="n"/>
      <c r="P1647" s="15">
        <f>IF($A1647="","",DATE(YEAR($A1647),MONTH($A1647),1))</f>
        <v/>
      </c>
      <c r="Q1647" s="16">
        <f>IF($H1647="","",$J1647*IFERROR(INDEX('Settings'!$L$10:$L$39,MATCH($H1647,'Settings'!$I$10:$I$39,0)),0))</f>
        <v/>
      </c>
      <c r="R1647" s="17">
        <f>IF($A1647="","",$A1647-WEEKDAY($A1647,2)+1)</f>
        <v/>
      </c>
    </row>
    <row r="1648">
      <c r="A1648" s="5" t="n"/>
      <c r="B1648" s="4" t="n"/>
      <c r="C1648" s="4" t="n"/>
      <c r="D1648" s="4" t="n"/>
      <c r="E1648" s="4" t="n"/>
      <c r="F1648" s="4" t="n"/>
      <c r="G1648" s="4" t="n"/>
      <c r="H1648" s="4" t="n"/>
      <c r="I1648" s="9">
        <f>IF($H1648="","",IFERROR(INDEX('Settings'!$J$10:$J$39,MATCH($H1648,'Settings'!$I$10:$I$39,0)),""))</f>
        <v/>
      </c>
      <c r="J1648" s="6" t="n"/>
      <c r="K1648" s="8" t="n"/>
      <c r="L1648" s="8" t="n"/>
      <c r="M1648" s="14">
        <f>IF($A1648="","",$J1648*$K1648)</f>
        <v/>
      </c>
      <c r="N1648" s="14">
        <f>IF($A1648="","",$M1648-$L1648)</f>
        <v/>
      </c>
      <c r="O1648" s="4" t="n"/>
      <c r="P1648" s="15">
        <f>IF($A1648="","",DATE(YEAR($A1648),MONTH($A1648),1))</f>
        <v/>
      </c>
      <c r="Q1648" s="16">
        <f>IF($H1648="","",$J1648*IFERROR(INDEX('Settings'!$L$10:$L$39,MATCH($H1648,'Settings'!$I$10:$I$39,0)),0))</f>
        <v/>
      </c>
      <c r="R1648" s="17">
        <f>IF($A1648="","",$A1648-WEEKDAY($A1648,2)+1)</f>
        <v/>
      </c>
    </row>
    <row r="1649">
      <c r="A1649" s="5" t="n"/>
      <c r="B1649" s="4" t="n"/>
      <c r="C1649" s="4" t="n"/>
      <c r="D1649" s="4" t="n"/>
      <c r="E1649" s="4" t="n"/>
      <c r="F1649" s="4" t="n"/>
      <c r="G1649" s="4" t="n"/>
      <c r="H1649" s="4" t="n"/>
      <c r="I1649" s="9">
        <f>IF($H1649="","",IFERROR(INDEX('Settings'!$J$10:$J$39,MATCH($H1649,'Settings'!$I$10:$I$39,0)),""))</f>
        <v/>
      </c>
      <c r="J1649" s="6" t="n"/>
      <c r="K1649" s="8" t="n"/>
      <c r="L1649" s="8" t="n"/>
      <c r="M1649" s="14">
        <f>IF($A1649="","",$J1649*$K1649)</f>
        <v/>
      </c>
      <c r="N1649" s="14">
        <f>IF($A1649="","",$M1649-$L1649)</f>
        <v/>
      </c>
      <c r="O1649" s="4" t="n"/>
      <c r="P1649" s="15">
        <f>IF($A1649="","",DATE(YEAR($A1649),MONTH($A1649),1))</f>
        <v/>
      </c>
      <c r="Q1649" s="16">
        <f>IF($H1649="","",$J1649*IFERROR(INDEX('Settings'!$L$10:$L$39,MATCH($H1649,'Settings'!$I$10:$I$39,0)),0))</f>
        <v/>
      </c>
      <c r="R1649" s="17">
        <f>IF($A1649="","",$A1649-WEEKDAY($A1649,2)+1)</f>
        <v/>
      </c>
    </row>
    <row r="1650">
      <c r="A1650" s="5" t="n"/>
      <c r="B1650" s="4" t="n"/>
      <c r="C1650" s="4" t="n"/>
      <c r="D1650" s="4" t="n"/>
      <c r="E1650" s="4" t="n"/>
      <c r="F1650" s="4" t="n"/>
      <c r="G1650" s="4" t="n"/>
      <c r="H1650" s="4" t="n"/>
      <c r="I1650" s="9">
        <f>IF($H1650="","",IFERROR(INDEX('Settings'!$J$10:$J$39,MATCH($H1650,'Settings'!$I$10:$I$39,0)),""))</f>
        <v/>
      </c>
      <c r="J1650" s="6" t="n"/>
      <c r="K1650" s="8" t="n"/>
      <c r="L1650" s="8" t="n"/>
      <c r="M1650" s="14">
        <f>IF($A1650="","",$J1650*$K1650)</f>
        <v/>
      </c>
      <c r="N1650" s="14">
        <f>IF($A1650="","",$M1650-$L1650)</f>
        <v/>
      </c>
      <c r="O1650" s="4" t="n"/>
      <c r="P1650" s="15">
        <f>IF($A1650="","",DATE(YEAR($A1650),MONTH($A1650),1))</f>
        <v/>
      </c>
      <c r="Q1650" s="16">
        <f>IF($H1650="","",$J1650*IFERROR(INDEX('Settings'!$L$10:$L$39,MATCH($H1650,'Settings'!$I$10:$I$39,0)),0))</f>
        <v/>
      </c>
      <c r="R1650" s="17">
        <f>IF($A1650="","",$A1650-WEEKDAY($A1650,2)+1)</f>
        <v/>
      </c>
    </row>
    <row r="1651">
      <c r="A1651" s="5" t="n"/>
      <c r="B1651" s="4" t="n"/>
      <c r="C1651" s="4" t="n"/>
      <c r="D1651" s="4" t="n"/>
      <c r="E1651" s="4" t="n"/>
      <c r="F1651" s="4" t="n"/>
      <c r="G1651" s="4" t="n"/>
      <c r="H1651" s="4" t="n"/>
      <c r="I1651" s="9">
        <f>IF($H1651="","",IFERROR(INDEX('Settings'!$J$10:$J$39,MATCH($H1651,'Settings'!$I$10:$I$39,0)),""))</f>
        <v/>
      </c>
      <c r="J1651" s="6" t="n"/>
      <c r="K1651" s="8" t="n"/>
      <c r="L1651" s="8" t="n"/>
      <c r="M1651" s="14">
        <f>IF($A1651="","",$J1651*$K1651)</f>
        <v/>
      </c>
      <c r="N1651" s="14">
        <f>IF($A1651="","",$M1651-$L1651)</f>
        <v/>
      </c>
      <c r="O1651" s="4" t="n"/>
      <c r="P1651" s="15">
        <f>IF($A1651="","",DATE(YEAR($A1651),MONTH($A1651),1))</f>
        <v/>
      </c>
      <c r="Q1651" s="16">
        <f>IF($H1651="","",$J1651*IFERROR(INDEX('Settings'!$L$10:$L$39,MATCH($H1651,'Settings'!$I$10:$I$39,0)),0))</f>
        <v/>
      </c>
      <c r="R1651" s="17">
        <f>IF($A1651="","",$A1651-WEEKDAY($A1651,2)+1)</f>
        <v/>
      </c>
    </row>
    <row r="1652">
      <c r="A1652" s="5" t="n"/>
      <c r="B1652" s="4" t="n"/>
      <c r="C1652" s="4" t="n"/>
      <c r="D1652" s="4" t="n"/>
      <c r="E1652" s="4" t="n"/>
      <c r="F1652" s="4" t="n"/>
      <c r="G1652" s="4" t="n"/>
      <c r="H1652" s="4" t="n"/>
      <c r="I1652" s="9">
        <f>IF($H1652="","",IFERROR(INDEX('Settings'!$J$10:$J$39,MATCH($H1652,'Settings'!$I$10:$I$39,0)),""))</f>
        <v/>
      </c>
      <c r="J1652" s="6" t="n"/>
      <c r="K1652" s="8" t="n"/>
      <c r="L1652" s="8" t="n"/>
      <c r="M1652" s="14">
        <f>IF($A1652="","",$J1652*$K1652)</f>
        <v/>
      </c>
      <c r="N1652" s="14">
        <f>IF($A1652="","",$M1652-$L1652)</f>
        <v/>
      </c>
      <c r="O1652" s="4" t="n"/>
      <c r="P1652" s="15">
        <f>IF($A1652="","",DATE(YEAR($A1652),MONTH($A1652),1))</f>
        <v/>
      </c>
      <c r="Q1652" s="16">
        <f>IF($H1652="","",$J1652*IFERROR(INDEX('Settings'!$L$10:$L$39,MATCH($H1652,'Settings'!$I$10:$I$39,0)),0))</f>
        <v/>
      </c>
      <c r="R1652" s="17">
        <f>IF($A1652="","",$A1652-WEEKDAY($A1652,2)+1)</f>
        <v/>
      </c>
    </row>
    <row r="1653">
      <c r="A1653" s="5" t="n"/>
      <c r="B1653" s="4" t="n"/>
      <c r="C1653" s="4" t="n"/>
      <c r="D1653" s="4" t="n"/>
      <c r="E1653" s="4" t="n"/>
      <c r="F1653" s="4" t="n"/>
      <c r="G1653" s="4" t="n"/>
      <c r="H1653" s="4" t="n"/>
      <c r="I1653" s="9">
        <f>IF($H1653="","",IFERROR(INDEX('Settings'!$J$10:$J$39,MATCH($H1653,'Settings'!$I$10:$I$39,0)),""))</f>
        <v/>
      </c>
      <c r="J1653" s="6" t="n"/>
      <c r="K1653" s="8" t="n"/>
      <c r="L1653" s="8" t="n"/>
      <c r="M1653" s="14">
        <f>IF($A1653="","",$J1653*$K1653)</f>
        <v/>
      </c>
      <c r="N1653" s="14">
        <f>IF($A1653="","",$M1653-$L1653)</f>
        <v/>
      </c>
      <c r="O1653" s="4" t="n"/>
      <c r="P1653" s="15">
        <f>IF($A1653="","",DATE(YEAR($A1653),MONTH($A1653),1))</f>
        <v/>
      </c>
      <c r="Q1653" s="16">
        <f>IF($H1653="","",$J1653*IFERROR(INDEX('Settings'!$L$10:$L$39,MATCH($H1653,'Settings'!$I$10:$I$39,0)),0))</f>
        <v/>
      </c>
      <c r="R1653" s="17">
        <f>IF($A1653="","",$A1653-WEEKDAY($A1653,2)+1)</f>
        <v/>
      </c>
    </row>
    <row r="1654">
      <c r="A1654" s="5" t="n"/>
      <c r="B1654" s="4" t="n"/>
      <c r="C1654" s="4" t="n"/>
      <c r="D1654" s="4" t="n"/>
      <c r="E1654" s="4" t="n"/>
      <c r="F1654" s="4" t="n"/>
      <c r="G1654" s="4" t="n"/>
      <c r="H1654" s="4" t="n"/>
      <c r="I1654" s="9">
        <f>IF($H1654="","",IFERROR(INDEX('Settings'!$J$10:$J$39,MATCH($H1654,'Settings'!$I$10:$I$39,0)),""))</f>
        <v/>
      </c>
      <c r="J1654" s="6" t="n"/>
      <c r="K1654" s="8" t="n"/>
      <c r="L1654" s="8" t="n"/>
      <c r="M1654" s="14">
        <f>IF($A1654="","",$J1654*$K1654)</f>
        <v/>
      </c>
      <c r="N1654" s="14">
        <f>IF($A1654="","",$M1654-$L1654)</f>
        <v/>
      </c>
      <c r="O1654" s="4" t="n"/>
      <c r="P1654" s="15">
        <f>IF($A1654="","",DATE(YEAR($A1654),MONTH($A1654),1))</f>
        <v/>
      </c>
      <c r="Q1654" s="16">
        <f>IF($H1654="","",$J1654*IFERROR(INDEX('Settings'!$L$10:$L$39,MATCH($H1654,'Settings'!$I$10:$I$39,0)),0))</f>
        <v/>
      </c>
      <c r="R1654" s="17">
        <f>IF($A1654="","",$A1654-WEEKDAY($A1654,2)+1)</f>
        <v/>
      </c>
    </row>
    <row r="1655">
      <c r="A1655" s="5" t="n"/>
      <c r="B1655" s="4" t="n"/>
      <c r="C1655" s="4" t="n"/>
      <c r="D1655" s="4" t="n"/>
      <c r="E1655" s="4" t="n"/>
      <c r="F1655" s="4" t="n"/>
      <c r="G1655" s="4" t="n"/>
      <c r="H1655" s="4" t="n"/>
      <c r="I1655" s="9">
        <f>IF($H1655="","",IFERROR(INDEX('Settings'!$J$10:$J$39,MATCH($H1655,'Settings'!$I$10:$I$39,0)),""))</f>
        <v/>
      </c>
      <c r="J1655" s="6" t="n"/>
      <c r="K1655" s="8" t="n"/>
      <c r="L1655" s="8" t="n"/>
      <c r="M1655" s="14">
        <f>IF($A1655="","",$J1655*$K1655)</f>
        <v/>
      </c>
      <c r="N1655" s="14">
        <f>IF($A1655="","",$M1655-$L1655)</f>
        <v/>
      </c>
      <c r="O1655" s="4" t="n"/>
      <c r="P1655" s="15">
        <f>IF($A1655="","",DATE(YEAR($A1655),MONTH($A1655),1))</f>
        <v/>
      </c>
      <c r="Q1655" s="16">
        <f>IF($H1655="","",$J1655*IFERROR(INDEX('Settings'!$L$10:$L$39,MATCH($H1655,'Settings'!$I$10:$I$39,0)),0))</f>
        <v/>
      </c>
      <c r="R1655" s="17">
        <f>IF($A1655="","",$A1655-WEEKDAY($A1655,2)+1)</f>
        <v/>
      </c>
    </row>
    <row r="1656">
      <c r="A1656" s="5" t="n"/>
      <c r="B1656" s="4" t="n"/>
      <c r="C1656" s="4" t="n"/>
      <c r="D1656" s="4" t="n"/>
      <c r="E1656" s="4" t="n"/>
      <c r="F1656" s="4" t="n"/>
      <c r="G1656" s="4" t="n"/>
      <c r="H1656" s="4" t="n"/>
      <c r="I1656" s="9">
        <f>IF($H1656="","",IFERROR(INDEX('Settings'!$J$10:$J$39,MATCH($H1656,'Settings'!$I$10:$I$39,0)),""))</f>
        <v/>
      </c>
      <c r="J1656" s="6" t="n"/>
      <c r="K1656" s="8" t="n"/>
      <c r="L1656" s="8" t="n"/>
      <c r="M1656" s="14">
        <f>IF($A1656="","",$J1656*$K1656)</f>
        <v/>
      </c>
      <c r="N1656" s="14">
        <f>IF($A1656="","",$M1656-$L1656)</f>
        <v/>
      </c>
      <c r="O1656" s="4" t="n"/>
      <c r="P1656" s="15">
        <f>IF($A1656="","",DATE(YEAR($A1656),MONTH($A1656),1))</f>
        <v/>
      </c>
      <c r="Q1656" s="16">
        <f>IF($H1656="","",$J1656*IFERROR(INDEX('Settings'!$L$10:$L$39,MATCH($H1656,'Settings'!$I$10:$I$39,0)),0))</f>
        <v/>
      </c>
      <c r="R1656" s="17">
        <f>IF($A1656="","",$A1656-WEEKDAY($A1656,2)+1)</f>
        <v/>
      </c>
    </row>
    <row r="1657">
      <c r="A1657" s="5" t="n"/>
      <c r="B1657" s="4" t="n"/>
      <c r="C1657" s="4" t="n"/>
      <c r="D1657" s="4" t="n"/>
      <c r="E1657" s="4" t="n"/>
      <c r="F1657" s="4" t="n"/>
      <c r="G1657" s="4" t="n"/>
      <c r="H1657" s="4" t="n"/>
      <c r="I1657" s="9">
        <f>IF($H1657="","",IFERROR(INDEX('Settings'!$J$10:$J$39,MATCH($H1657,'Settings'!$I$10:$I$39,0)),""))</f>
        <v/>
      </c>
      <c r="J1657" s="6" t="n"/>
      <c r="K1657" s="8" t="n"/>
      <c r="L1657" s="8" t="n"/>
      <c r="M1657" s="14">
        <f>IF($A1657="","",$J1657*$K1657)</f>
        <v/>
      </c>
      <c r="N1657" s="14">
        <f>IF($A1657="","",$M1657-$L1657)</f>
        <v/>
      </c>
      <c r="O1657" s="4" t="n"/>
      <c r="P1657" s="15">
        <f>IF($A1657="","",DATE(YEAR($A1657),MONTH($A1657),1))</f>
        <v/>
      </c>
      <c r="Q1657" s="16">
        <f>IF($H1657="","",$J1657*IFERROR(INDEX('Settings'!$L$10:$L$39,MATCH($H1657,'Settings'!$I$10:$I$39,0)),0))</f>
        <v/>
      </c>
      <c r="R1657" s="17">
        <f>IF($A1657="","",$A1657-WEEKDAY($A1657,2)+1)</f>
        <v/>
      </c>
    </row>
    <row r="1658">
      <c r="A1658" s="5" t="n"/>
      <c r="B1658" s="4" t="n"/>
      <c r="C1658" s="4" t="n"/>
      <c r="D1658" s="4" t="n"/>
      <c r="E1658" s="4" t="n"/>
      <c r="F1658" s="4" t="n"/>
      <c r="G1658" s="4" t="n"/>
      <c r="H1658" s="4" t="n"/>
      <c r="I1658" s="9">
        <f>IF($H1658="","",IFERROR(INDEX('Settings'!$J$10:$J$39,MATCH($H1658,'Settings'!$I$10:$I$39,0)),""))</f>
        <v/>
      </c>
      <c r="J1658" s="6" t="n"/>
      <c r="K1658" s="8" t="n"/>
      <c r="L1658" s="8" t="n"/>
      <c r="M1658" s="14">
        <f>IF($A1658="","",$J1658*$K1658)</f>
        <v/>
      </c>
      <c r="N1658" s="14">
        <f>IF($A1658="","",$M1658-$L1658)</f>
        <v/>
      </c>
      <c r="O1658" s="4" t="n"/>
      <c r="P1658" s="15">
        <f>IF($A1658="","",DATE(YEAR($A1658),MONTH($A1658),1))</f>
        <v/>
      </c>
      <c r="Q1658" s="16">
        <f>IF($H1658="","",$J1658*IFERROR(INDEX('Settings'!$L$10:$L$39,MATCH($H1658,'Settings'!$I$10:$I$39,0)),0))</f>
        <v/>
      </c>
      <c r="R1658" s="17">
        <f>IF($A1658="","",$A1658-WEEKDAY($A1658,2)+1)</f>
        <v/>
      </c>
    </row>
    <row r="1659">
      <c r="A1659" s="5" t="n"/>
      <c r="B1659" s="4" t="n"/>
      <c r="C1659" s="4" t="n"/>
      <c r="D1659" s="4" t="n"/>
      <c r="E1659" s="4" t="n"/>
      <c r="F1659" s="4" t="n"/>
      <c r="G1659" s="4" t="n"/>
      <c r="H1659" s="4" t="n"/>
      <c r="I1659" s="9">
        <f>IF($H1659="","",IFERROR(INDEX('Settings'!$J$10:$J$39,MATCH($H1659,'Settings'!$I$10:$I$39,0)),""))</f>
        <v/>
      </c>
      <c r="J1659" s="6" t="n"/>
      <c r="K1659" s="8" t="n"/>
      <c r="L1659" s="8" t="n"/>
      <c r="M1659" s="14">
        <f>IF($A1659="","",$J1659*$K1659)</f>
        <v/>
      </c>
      <c r="N1659" s="14">
        <f>IF($A1659="","",$M1659-$L1659)</f>
        <v/>
      </c>
      <c r="O1659" s="4" t="n"/>
      <c r="P1659" s="15">
        <f>IF($A1659="","",DATE(YEAR($A1659),MONTH($A1659),1))</f>
        <v/>
      </c>
      <c r="Q1659" s="16">
        <f>IF($H1659="","",$J1659*IFERROR(INDEX('Settings'!$L$10:$L$39,MATCH($H1659,'Settings'!$I$10:$I$39,0)),0))</f>
        <v/>
      </c>
      <c r="R1659" s="17">
        <f>IF($A1659="","",$A1659-WEEKDAY($A1659,2)+1)</f>
        <v/>
      </c>
    </row>
    <row r="1660">
      <c r="A1660" s="5" t="n"/>
      <c r="B1660" s="4" t="n"/>
      <c r="C1660" s="4" t="n"/>
      <c r="D1660" s="4" t="n"/>
      <c r="E1660" s="4" t="n"/>
      <c r="F1660" s="4" t="n"/>
      <c r="G1660" s="4" t="n"/>
      <c r="H1660" s="4" t="n"/>
      <c r="I1660" s="9">
        <f>IF($H1660="","",IFERROR(INDEX('Settings'!$J$10:$J$39,MATCH($H1660,'Settings'!$I$10:$I$39,0)),""))</f>
        <v/>
      </c>
      <c r="J1660" s="6" t="n"/>
      <c r="K1660" s="8" t="n"/>
      <c r="L1660" s="8" t="n"/>
      <c r="M1660" s="14">
        <f>IF($A1660="","",$J1660*$K1660)</f>
        <v/>
      </c>
      <c r="N1660" s="14">
        <f>IF($A1660="","",$M1660-$L1660)</f>
        <v/>
      </c>
      <c r="O1660" s="4" t="n"/>
      <c r="P1660" s="15">
        <f>IF($A1660="","",DATE(YEAR($A1660),MONTH($A1660),1))</f>
        <v/>
      </c>
      <c r="Q1660" s="16">
        <f>IF($H1660="","",$J1660*IFERROR(INDEX('Settings'!$L$10:$L$39,MATCH($H1660,'Settings'!$I$10:$I$39,0)),0))</f>
        <v/>
      </c>
      <c r="R1660" s="17">
        <f>IF($A1660="","",$A1660-WEEKDAY($A1660,2)+1)</f>
        <v/>
      </c>
    </row>
    <row r="1661">
      <c r="A1661" s="5" t="n"/>
      <c r="B1661" s="4" t="n"/>
      <c r="C1661" s="4" t="n"/>
      <c r="D1661" s="4" t="n"/>
      <c r="E1661" s="4" t="n"/>
      <c r="F1661" s="4" t="n"/>
      <c r="G1661" s="4" t="n"/>
      <c r="H1661" s="4" t="n"/>
      <c r="I1661" s="9">
        <f>IF($H1661="","",IFERROR(INDEX('Settings'!$J$10:$J$39,MATCH($H1661,'Settings'!$I$10:$I$39,0)),""))</f>
        <v/>
      </c>
      <c r="J1661" s="6" t="n"/>
      <c r="K1661" s="8" t="n"/>
      <c r="L1661" s="8" t="n"/>
      <c r="M1661" s="14">
        <f>IF($A1661="","",$J1661*$K1661)</f>
        <v/>
      </c>
      <c r="N1661" s="14">
        <f>IF($A1661="","",$M1661-$L1661)</f>
        <v/>
      </c>
      <c r="O1661" s="4" t="n"/>
      <c r="P1661" s="15">
        <f>IF($A1661="","",DATE(YEAR($A1661),MONTH($A1661),1))</f>
        <v/>
      </c>
      <c r="Q1661" s="16">
        <f>IF($H1661="","",$J1661*IFERROR(INDEX('Settings'!$L$10:$L$39,MATCH($H1661,'Settings'!$I$10:$I$39,0)),0))</f>
        <v/>
      </c>
      <c r="R1661" s="17">
        <f>IF($A1661="","",$A1661-WEEKDAY($A1661,2)+1)</f>
        <v/>
      </c>
    </row>
    <row r="1662">
      <c r="A1662" s="5" t="n"/>
      <c r="B1662" s="4" t="n"/>
      <c r="C1662" s="4" t="n"/>
      <c r="D1662" s="4" t="n"/>
      <c r="E1662" s="4" t="n"/>
      <c r="F1662" s="4" t="n"/>
      <c r="G1662" s="4" t="n"/>
      <c r="H1662" s="4" t="n"/>
      <c r="I1662" s="9">
        <f>IF($H1662="","",IFERROR(INDEX('Settings'!$J$10:$J$39,MATCH($H1662,'Settings'!$I$10:$I$39,0)),""))</f>
        <v/>
      </c>
      <c r="J1662" s="6" t="n"/>
      <c r="K1662" s="8" t="n"/>
      <c r="L1662" s="8" t="n"/>
      <c r="M1662" s="14">
        <f>IF($A1662="","",$J1662*$K1662)</f>
        <v/>
      </c>
      <c r="N1662" s="14">
        <f>IF($A1662="","",$M1662-$L1662)</f>
        <v/>
      </c>
      <c r="O1662" s="4" t="n"/>
      <c r="P1662" s="15">
        <f>IF($A1662="","",DATE(YEAR($A1662),MONTH($A1662),1))</f>
        <v/>
      </c>
      <c r="Q1662" s="16">
        <f>IF($H1662="","",$J1662*IFERROR(INDEX('Settings'!$L$10:$L$39,MATCH($H1662,'Settings'!$I$10:$I$39,0)),0))</f>
        <v/>
      </c>
      <c r="R1662" s="17">
        <f>IF($A1662="","",$A1662-WEEKDAY($A1662,2)+1)</f>
        <v/>
      </c>
    </row>
    <row r="1663">
      <c r="A1663" s="5" t="n"/>
      <c r="B1663" s="4" t="n"/>
      <c r="C1663" s="4" t="n"/>
      <c r="D1663" s="4" t="n"/>
      <c r="E1663" s="4" t="n"/>
      <c r="F1663" s="4" t="n"/>
      <c r="G1663" s="4" t="n"/>
      <c r="H1663" s="4" t="n"/>
      <c r="I1663" s="9">
        <f>IF($H1663="","",IFERROR(INDEX('Settings'!$J$10:$J$39,MATCH($H1663,'Settings'!$I$10:$I$39,0)),""))</f>
        <v/>
      </c>
      <c r="J1663" s="6" t="n"/>
      <c r="K1663" s="8" t="n"/>
      <c r="L1663" s="8" t="n"/>
      <c r="M1663" s="14">
        <f>IF($A1663="","",$J1663*$K1663)</f>
        <v/>
      </c>
      <c r="N1663" s="14">
        <f>IF($A1663="","",$M1663-$L1663)</f>
        <v/>
      </c>
      <c r="O1663" s="4" t="n"/>
      <c r="P1663" s="15">
        <f>IF($A1663="","",DATE(YEAR($A1663),MONTH($A1663),1))</f>
        <v/>
      </c>
      <c r="Q1663" s="16">
        <f>IF($H1663="","",$J1663*IFERROR(INDEX('Settings'!$L$10:$L$39,MATCH($H1663,'Settings'!$I$10:$I$39,0)),0))</f>
        <v/>
      </c>
      <c r="R1663" s="17">
        <f>IF($A1663="","",$A1663-WEEKDAY($A1663,2)+1)</f>
        <v/>
      </c>
    </row>
    <row r="1664">
      <c r="A1664" s="5" t="n"/>
      <c r="B1664" s="4" t="n"/>
      <c r="C1664" s="4" t="n"/>
      <c r="D1664" s="4" t="n"/>
      <c r="E1664" s="4" t="n"/>
      <c r="F1664" s="4" t="n"/>
      <c r="G1664" s="4" t="n"/>
      <c r="H1664" s="4" t="n"/>
      <c r="I1664" s="9">
        <f>IF($H1664="","",IFERROR(INDEX('Settings'!$J$10:$J$39,MATCH($H1664,'Settings'!$I$10:$I$39,0)),""))</f>
        <v/>
      </c>
      <c r="J1664" s="6" t="n"/>
      <c r="K1664" s="8" t="n"/>
      <c r="L1664" s="8" t="n"/>
      <c r="M1664" s="14">
        <f>IF($A1664="","",$J1664*$K1664)</f>
        <v/>
      </c>
      <c r="N1664" s="14">
        <f>IF($A1664="","",$M1664-$L1664)</f>
        <v/>
      </c>
      <c r="O1664" s="4" t="n"/>
      <c r="P1664" s="15">
        <f>IF($A1664="","",DATE(YEAR($A1664),MONTH($A1664),1))</f>
        <v/>
      </c>
      <c r="Q1664" s="16">
        <f>IF($H1664="","",$J1664*IFERROR(INDEX('Settings'!$L$10:$L$39,MATCH($H1664,'Settings'!$I$10:$I$39,0)),0))</f>
        <v/>
      </c>
      <c r="R1664" s="17">
        <f>IF($A1664="","",$A1664-WEEKDAY($A1664,2)+1)</f>
        <v/>
      </c>
    </row>
    <row r="1665">
      <c r="A1665" s="5" t="n"/>
      <c r="B1665" s="4" t="n"/>
      <c r="C1665" s="4" t="n"/>
      <c r="D1665" s="4" t="n"/>
      <c r="E1665" s="4" t="n"/>
      <c r="F1665" s="4" t="n"/>
      <c r="G1665" s="4" t="n"/>
      <c r="H1665" s="4" t="n"/>
      <c r="I1665" s="9">
        <f>IF($H1665="","",IFERROR(INDEX('Settings'!$J$10:$J$39,MATCH($H1665,'Settings'!$I$10:$I$39,0)),""))</f>
        <v/>
      </c>
      <c r="J1665" s="6" t="n"/>
      <c r="K1665" s="8" t="n"/>
      <c r="L1665" s="8" t="n"/>
      <c r="M1665" s="14">
        <f>IF($A1665="","",$J1665*$K1665)</f>
        <v/>
      </c>
      <c r="N1665" s="14">
        <f>IF($A1665="","",$M1665-$L1665)</f>
        <v/>
      </c>
      <c r="O1665" s="4" t="n"/>
      <c r="P1665" s="15">
        <f>IF($A1665="","",DATE(YEAR($A1665),MONTH($A1665),1))</f>
        <v/>
      </c>
      <c r="Q1665" s="16">
        <f>IF($H1665="","",$J1665*IFERROR(INDEX('Settings'!$L$10:$L$39,MATCH($H1665,'Settings'!$I$10:$I$39,0)),0))</f>
        <v/>
      </c>
      <c r="R1665" s="17">
        <f>IF($A1665="","",$A1665-WEEKDAY($A1665,2)+1)</f>
        <v/>
      </c>
    </row>
    <row r="1666">
      <c r="A1666" s="5" t="n"/>
      <c r="B1666" s="4" t="n"/>
      <c r="C1666" s="4" t="n"/>
      <c r="D1666" s="4" t="n"/>
      <c r="E1666" s="4" t="n"/>
      <c r="F1666" s="4" t="n"/>
      <c r="G1666" s="4" t="n"/>
      <c r="H1666" s="4" t="n"/>
      <c r="I1666" s="9">
        <f>IF($H1666="","",IFERROR(INDEX('Settings'!$J$10:$J$39,MATCH($H1666,'Settings'!$I$10:$I$39,0)),""))</f>
        <v/>
      </c>
      <c r="J1666" s="6" t="n"/>
      <c r="K1666" s="8" t="n"/>
      <c r="L1666" s="8" t="n"/>
      <c r="M1666" s="14">
        <f>IF($A1666="","",$J1666*$K1666)</f>
        <v/>
      </c>
      <c r="N1666" s="14">
        <f>IF($A1666="","",$M1666-$L1666)</f>
        <v/>
      </c>
      <c r="O1666" s="4" t="n"/>
      <c r="P1666" s="15">
        <f>IF($A1666="","",DATE(YEAR($A1666),MONTH($A1666),1))</f>
        <v/>
      </c>
      <c r="Q1666" s="16">
        <f>IF($H1666="","",$J1666*IFERROR(INDEX('Settings'!$L$10:$L$39,MATCH($H1666,'Settings'!$I$10:$I$39,0)),0))</f>
        <v/>
      </c>
      <c r="R1666" s="17">
        <f>IF($A1666="","",$A1666-WEEKDAY($A1666,2)+1)</f>
        <v/>
      </c>
    </row>
    <row r="1667">
      <c r="A1667" s="5" t="n"/>
      <c r="B1667" s="4" t="n"/>
      <c r="C1667" s="4" t="n"/>
      <c r="D1667" s="4" t="n"/>
      <c r="E1667" s="4" t="n"/>
      <c r="F1667" s="4" t="n"/>
      <c r="G1667" s="4" t="n"/>
      <c r="H1667" s="4" t="n"/>
      <c r="I1667" s="9">
        <f>IF($H1667="","",IFERROR(INDEX('Settings'!$J$10:$J$39,MATCH($H1667,'Settings'!$I$10:$I$39,0)),""))</f>
        <v/>
      </c>
      <c r="J1667" s="6" t="n"/>
      <c r="K1667" s="8" t="n"/>
      <c r="L1667" s="8" t="n"/>
      <c r="M1667" s="14">
        <f>IF($A1667="","",$J1667*$K1667)</f>
        <v/>
      </c>
      <c r="N1667" s="14">
        <f>IF($A1667="","",$M1667-$L1667)</f>
        <v/>
      </c>
      <c r="O1667" s="4" t="n"/>
      <c r="P1667" s="15">
        <f>IF($A1667="","",DATE(YEAR($A1667),MONTH($A1667),1))</f>
        <v/>
      </c>
      <c r="Q1667" s="16">
        <f>IF($H1667="","",$J1667*IFERROR(INDEX('Settings'!$L$10:$L$39,MATCH($H1667,'Settings'!$I$10:$I$39,0)),0))</f>
        <v/>
      </c>
      <c r="R1667" s="17">
        <f>IF($A1667="","",$A1667-WEEKDAY($A1667,2)+1)</f>
        <v/>
      </c>
    </row>
    <row r="1668">
      <c r="A1668" s="5" t="n"/>
      <c r="B1668" s="4" t="n"/>
      <c r="C1668" s="4" t="n"/>
      <c r="D1668" s="4" t="n"/>
      <c r="E1668" s="4" t="n"/>
      <c r="F1668" s="4" t="n"/>
      <c r="G1668" s="4" t="n"/>
      <c r="H1668" s="4" t="n"/>
      <c r="I1668" s="9">
        <f>IF($H1668="","",IFERROR(INDEX('Settings'!$J$10:$J$39,MATCH($H1668,'Settings'!$I$10:$I$39,0)),""))</f>
        <v/>
      </c>
      <c r="J1668" s="6" t="n"/>
      <c r="K1668" s="8" t="n"/>
      <c r="L1668" s="8" t="n"/>
      <c r="M1668" s="14">
        <f>IF($A1668="","",$J1668*$K1668)</f>
        <v/>
      </c>
      <c r="N1668" s="14">
        <f>IF($A1668="","",$M1668-$L1668)</f>
        <v/>
      </c>
      <c r="O1668" s="4" t="n"/>
      <c r="P1668" s="15">
        <f>IF($A1668="","",DATE(YEAR($A1668),MONTH($A1668),1))</f>
        <v/>
      </c>
      <c r="Q1668" s="16">
        <f>IF($H1668="","",$J1668*IFERROR(INDEX('Settings'!$L$10:$L$39,MATCH($H1668,'Settings'!$I$10:$I$39,0)),0))</f>
        <v/>
      </c>
      <c r="R1668" s="17">
        <f>IF($A1668="","",$A1668-WEEKDAY($A1668,2)+1)</f>
        <v/>
      </c>
    </row>
    <row r="1669">
      <c r="A1669" s="5" t="n"/>
      <c r="B1669" s="4" t="n"/>
      <c r="C1669" s="4" t="n"/>
      <c r="D1669" s="4" t="n"/>
      <c r="E1669" s="4" t="n"/>
      <c r="F1669" s="4" t="n"/>
      <c r="G1669" s="4" t="n"/>
      <c r="H1669" s="4" t="n"/>
      <c r="I1669" s="9">
        <f>IF($H1669="","",IFERROR(INDEX('Settings'!$J$10:$J$39,MATCH($H1669,'Settings'!$I$10:$I$39,0)),""))</f>
        <v/>
      </c>
      <c r="J1669" s="6" t="n"/>
      <c r="K1669" s="8" t="n"/>
      <c r="L1669" s="8" t="n"/>
      <c r="M1669" s="14">
        <f>IF($A1669="","",$J1669*$K1669)</f>
        <v/>
      </c>
      <c r="N1669" s="14">
        <f>IF($A1669="","",$M1669-$L1669)</f>
        <v/>
      </c>
      <c r="O1669" s="4" t="n"/>
      <c r="P1669" s="15">
        <f>IF($A1669="","",DATE(YEAR($A1669),MONTH($A1669),1))</f>
        <v/>
      </c>
      <c r="Q1669" s="16">
        <f>IF($H1669="","",$J1669*IFERROR(INDEX('Settings'!$L$10:$L$39,MATCH($H1669,'Settings'!$I$10:$I$39,0)),0))</f>
        <v/>
      </c>
      <c r="R1669" s="17">
        <f>IF($A1669="","",$A1669-WEEKDAY($A1669,2)+1)</f>
        <v/>
      </c>
    </row>
    <row r="1670">
      <c r="A1670" s="5" t="n"/>
      <c r="B1670" s="4" t="n"/>
      <c r="C1670" s="4" t="n"/>
      <c r="D1670" s="4" t="n"/>
      <c r="E1670" s="4" t="n"/>
      <c r="F1670" s="4" t="n"/>
      <c r="G1670" s="4" t="n"/>
      <c r="H1670" s="4" t="n"/>
      <c r="I1670" s="9">
        <f>IF($H1670="","",IFERROR(INDEX('Settings'!$J$10:$J$39,MATCH($H1670,'Settings'!$I$10:$I$39,0)),""))</f>
        <v/>
      </c>
      <c r="J1670" s="6" t="n"/>
      <c r="K1670" s="8" t="n"/>
      <c r="L1670" s="8" t="n"/>
      <c r="M1670" s="14">
        <f>IF($A1670="","",$J1670*$K1670)</f>
        <v/>
      </c>
      <c r="N1670" s="14">
        <f>IF($A1670="","",$M1670-$L1670)</f>
        <v/>
      </c>
      <c r="O1670" s="4" t="n"/>
      <c r="P1670" s="15">
        <f>IF($A1670="","",DATE(YEAR($A1670),MONTH($A1670),1))</f>
        <v/>
      </c>
      <c r="Q1670" s="16">
        <f>IF($H1670="","",$J1670*IFERROR(INDEX('Settings'!$L$10:$L$39,MATCH($H1670,'Settings'!$I$10:$I$39,0)),0))</f>
        <v/>
      </c>
      <c r="R1670" s="17">
        <f>IF($A1670="","",$A1670-WEEKDAY($A1670,2)+1)</f>
        <v/>
      </c>
    </row>
    <row r="1671">
      <c r="A1671" s="5" t="n"/>
      <c r="B1671" s="4" t="n"/>
      <c r="C1671" s="4" t="n"/>
      <c r="D1671" s="4" t="n"/>
      <c r="E1671" s="4" t="n"/>
      <c r="F1671" s="4" t="n"/>
      <c r="G1671" s="4" t="n"/>
      <c r="H1671" s="4" t="n"/>
      <c r="I1671" s="9">
        <f>IF($H1671="","",IFERROR(INDEX('Settings'!$J$10:$J$39,MATCH($H1671,'Settings'!$I$10:$I$39,0)),""))</f>
        <v/>
      </c>
      <c r="J1671" s="6" t="n"/>
      <c r="K1671" s="8" t="n"/>
      <c r="L1671" s="8" t="n"/>
      <c r="M1671" s="14">
        <f>IF($A1671="","",$J1671*$K1671)</f>
        <v/>
      </c>
      <c r="N1671" s="14">
        <f>IF($A1671="","",$M1671-$L1671)</f>
        <v/>
      </c>
      <c r="O1671" s="4" t="n"/>
      <c r="P1671" s="15">
        <f>IF($A1671="","",DATE(YEAR($A1671),MONTH($A1671),1))</f>
        <v/>
      </c>
      <c r="Q1671" s="16">
        <f>IF($H1671="","",$J1671*IFERROR(INDEX('Settings'!$L$10:$L$39,MATCH($H1671,'Settings'!$I$10:$I$39,0)),0))</f>
        <v/>
      </c>
      <c r="R1671" s="17">
        <f>IF($A1671="","",$A1671-WEEKDAY($A1671,2)+1)</f>
        <v/>
      </c>
    </row>
    <row r="1672">
      <c r="A1672" s="5" t="n"/>
      <c r="B1672" s="4" t="n"/>
      <c r="C1672" s="4" t="n"/>
      <c r="D1672" s="4" t="n"/>
      <c r="E1672" s="4" t="n"/>
      <c r="F1672" s="4" t="n"/>
      <c r="G1672" s="4" t="n"/>
      <c r="H1672" s="4" t="n"/>
      <c r="I1672" s="9">
        <f>IF($H1672="","",IFERROR(INDEX('Settings'!$J$10:$J$39,MATCH($H1672,'Settings'!$I$10:$I$39,0)),""))</f>
        <v/>
      </c>
      <c r="J1672" s="6" t="n"/>
      <c r="K1672" s="8" t="n"/>
      <c r="L1672" s="8" t="n"/>
      <c r="M1672" s="14">
        <f>IF($A1672="","",$J1672*$K1672)</f>
        <v/>
      </c>
      <c r="N1672" s="14">
        <f>IF($A1672="","",$M1672-$L1672)</f>
        <v/>
      </c>
      <c r="O1672" s="4" t="n"/>
      <c r="P1672" s="15">
        <f>IF($A1672="","",DATE(YEAR($A1672),MONTH($A1672),1))</f>
        <v/>
      </c>
      <c r="Q1672" s="16">
        <f>IF($H1672="","",$J1672*IFERROR(INDEX('Settings'!$L$10:$L$39,MATCH($H1672,'Settings'!$I$10:$I$39,0)),0))</f>
        <v/>
      </c>
      <c r="R1672" s="17">
        <f>IF($A1672="","",$A1672-WEEKDAY($A1672,2)+1)</f>
        <v/>
      </c>
    </row>
    <row r="1673">
      <c r="A1673" s="5" t="n"/>
      <c r="B1673" s="4" t="n"/>
      <c r="C1673" s="4" t="n"/>
      <c r="D1673" s="4" t="n"/>
      <c r="E1673" s="4" t="n"/>
      <c r="F1673" s="4" t="n"/>
      <c r="G1673" s="4" t="n"/>
      <c r="H1673" s="4" t="n"/>
      <c r="I1673" s="9">
        <f>IF($H1673="","",IFERROR(INDEX('Settings'!$J$10:$J$39,MATCH($H1673,'Settings'!$I$10:$I$39,0)),""))</f>
        <v/>
      </c>
      <c r="J1673" s="6" t="n"/>
      <c r="K1673" s="8" t="n"/>
      <c r="L1673" s="8" t="n"/>
      <c r="M1673" s="14">
        <f>IF($A1673="","",$J1673*$K1673)</f>
        <v/>
      </c>
      <c r="N1673" s="14">
        <f>IF($A1673="","",$M1673-$L1673)</f>
        <v/>
      </c>
      <c r="O1673" s="4" t="n"/>
      <c r="P1673" s="15">
        <f>IF($A1673="","",DATE(YEAR($A1673),MONTH($A1673),1))</f>
        <v/>
      </c>
      <c r="Q1673" s="16">
        <f>IF($H1673="","",$J1673*IFERROR(INDEX('Settings'!$L$10:$L$39,MATCH($H1673,'Settings'!$I$10:$I$39,0)),0))</f>
        <v/>
      </c>
      <c r="R1673" s="17">
        <f>IF($A1673="","",$A1673-WEEKDAY($A1673,2)+1)</f>
        <v/>
      </c>
    </row>
    <row r="1674">
      <c r="A1674" s="5" t="n"/>
      <c r="B1674" s="4" t="n"/>
      <c r="C1674" s="4" t="n"/>
      <c r="D1674" s="4" t="n"/>
      <c r="E1674" s="4" t="n"/>
      <c r="F1674" s="4" t="n"/>
      <c r="G1674" s="4" t="n"/>
      <c r="H1674" s="4" t="n"/>
      <c r="I1674" s="9">
        <f>IF($H1674="","",IFERROR(INDEX('Settings'!$J$10:$J$39,MATCH($H1674,'Settings'!$I$10:$I$39,0)),""))</f>
        <v/>
      </c>
      <c r="J1674" s="6" t="n"/>
      <c r="K1674" s="8" t="n"/>
      <c r="L1674" s="8" t="n"/>
      <c r="M1674" s="14">
        <f>IF($A1674="","",$J1674*$K1674)</f>
        <v/>
      </c>
      <c r="N1674" s="14">
        <f>IF($A1674="","",$M1674-$L1674)</f>
        <v/>
      </c>
      <c r="O1674" s="4" t="n"/>
      <c r="P1674" s="15">
        <f>IF($A1674="","",DATE(YEAR($A1674),MONTH($A1674),1))</f>
        <v/>
      </c>
      <c r="Q1674" s="16">
        <f>IF($H1674="","",$J1674*IFERROR(INDEX('Settings'!$L$10:$L$39,MATCH($H1674,'Settings'!$I$10:$I$39,0)),0))</f>
        <v/>
      </c>
      <c r="R1674" s="17">
        <f>IF($A1674="","",$A1674-WEEKDAY($A1674,2)+1)</f>
        <v/>
      </c>
    </row>
    <row r="1675">
      <c r="A1675" s="5" t="n"/>
      <c r="B1675" s="4" t="n"/>
      <c r="C1675" s="4" t="n"/>
      <c r="D1675" s="4" t="n"/>
      <c r="E1675" s="4" t="n"/>
      <c r="F1675" s="4" t="n"/>
      <c r="G1675" s="4" t="n"/>
      <c r="H1675" s="4" t="n"/>
      <c r="I1675" s="9">
        <f>IF($H1675="","",IFERROR(INDEX('Settings'!$J$10:$J$39,MATCH($H1675,'Settings'!$I$10:$I$39,0)),""))</f>
        <v/>
      </c>
      <c r="J1675" s="6" t="n"/>
      <c r="K1675" s="8" t="n"/>
      <c r="L1675" s="8" t="n"/>
      <c r="M1675" s="14">
        <f>IF($A1675="","",$J1675*$K1675)</f>
        <v/>
      </c>
      <c r="N1675" s="14">
        <f>IF($A1675="","",$M1675-$L1675)</f>
        <v/>
      </c>
      <c r="O1675" s="4" t="n"/>
      <c r="P1675" s="15">
        <f>IF($A1675="","",DATE(YEAR($A1675),MONTH($A1675),1))</f>
        <v/>
      </c>
      <c r="Q1675" s="16">
        <f>IF($H1675="","",$J1675*IFERROR(INDEX('Settings'!$L$10:$L$39,MATCH($H1675,'Settings'!$I$10:$I$39,0)),0))</f>
        <v/>
      </c>
      <c r="R1675" s="17">
        <f>IF($A1675="","",$A1675-WEEKDAY($A1675,2)+1)</f>
        <v/>
      </c>
    </row>
    <row r="1676">
      <c r="A1676" s="5" t="n"/>
      <c r="B1676" s="4" t="n"/>
      <c r="C1676" s="4" t="n"/>
      <c r="D1676" s="4" t="n"/>
      <c r="E1676" s="4" t="n"/>
      <c r="F1676" s="4" t="n"/>
      <c r="G1676" s="4" t="n"/>
      <c r="H1676" s="4" t="n"/>
      <c r="I1676" s="9">
        <f>IF($H1676="","",IFERROR(INDEX('Settings'!$J$10:$J$39,MATCH($H1676,'Settings'!$I$10:$I$39,0)),""))</f>
        <v/>
      </c>
      <c r="J1676" s="6" t="n"/>
      <c r="K1676" s="8" t="n"/>
      <c r="L1676" s="8" t="n"/>
      <c r="M1676" s="14">
        <f>IF($A1676="","",$J1676*$K1676)</f>
        <v/>
      </c>
      <c r="N1676" s="14">
        <f>IF($A1676="","",$M1676-$L1676)</f>
        <v/>
      </c>
      <c r="O1676" s="4" t="n"/>
      <c r="P1676" s="15">
        <f>IF($A1676="","",DATE(YEAR($A1676),MONTH($A1676),1))</f>
        <v/>
      </c>
      <c r="Q1676" s="16">
        <f>IF($H1676="","",$J1676*IFERROR(INDEX('Settings'!$L$10:$L$39,MATCH($H1676,'Settings'!$I$10:$I$39,0)),0))</f>
        <v/>
      </c>
      <c r="R1676" s="17">
        <f>IF($A1676="","",$A1676-WEEKDAY($A1676,2)+1)</f>
        <v/>
      </c>
    </row>
    <row r="1677">
      <c r="A1677" s="5" t="n"/>
      <c r="B1677" s="4" t="n"/>
      <c r="C1677" s="4" t="n"/>
      <c r="D1677" s="4" t="n"/>
      <c r="E1677" s="4" t="n"/>
      <c r="F1677" s="4" t="n"/>
      <c r="G1677" s="4" t="n"/>
      <c r="H1677" s="4" t="n"/>
      <c r="I1677" s="9">
        <f>IF($H1677="","",IFERROR(INDEX('Settings'!$J$10:$J$39,MATCH($H1677,'Settings'!$I$10:$I$39,0)),""))</f>
        <v/>
      </c>
      <c r="J1677" s="6" t="n"/>
      <c r="K1677" s="8" t="n"/>
      <c r="L1677" s="8" t="n"/>
      <c r="M1677" s="14">
        <f>IF($A1677="","",$J1677*$K1677)</f>
        <v/>
      </c>
      <c r="N1677" s="14">
        <f>IF($A1677="","",$M1677-$L1677)</f>
        <v/>
      </c>
      <c r="O1677" s="4" t="n"/>
      <c r="P1677" s="15">
        <f>IF($A1677="","",DATE(YEAR($A1677),MONTH($A1677),1))</f>
        <v/>
      </c>
      <c r="Q1677" s="16">
        <f>IF($H1677="","",$J1677*IFERROR(INDEX('Settings'!$L$10:$L$39,MATCH($H1677,'Settings'!$I$10:$I$39,0)),0))</f>
        <v/>
      </c>
      <c r="R1677" s="17">
        <f>IF($A1677="","",$A1677-WEEKDAY($A1677,2)+1)</f>
        <v/>
      </c>
    </row>
    <row r="1678">
      <c r="A1678" s="5" t="n"/>
      <c r="B1678" s="4" t="n"/>
      <c r="C1678" s="4" t="n"/>
      <c r="D1678" s="4" t="n"/>
      <c r="E1678" s="4" t="n"/>
      <c r="F1678" s="4" t="n"/>
      <c r="G1678" s="4" t="n"/>
      <c r="H1678" s="4" t="n"/>
      <c r="I1678" s="9">
        <f>IF($H1678="","",IFERROR(INDEX('Settings'!$J$10:$J$39,MATCH($H1678,'Settings'!$I$10:$I$39,0)),""))</f>
        <v/>
      </c>
      <c r="J1678" s="6" t="n"/>
      <c r="K1678" s="8" t="n"/>
      <c r="L1678" s="8" t="n"/>
      <c r="M1678" s="14">
        <f>IF($A1678="","",$J1678*$K1678)</f>
        <v/>
      </c>
      <c r="N1678" s="14">
        <f>IF($A1678="","",$M1678-$L1678)</f>
        <v/>
      </c>
      <c r="O1678" s="4" t="n"/>
      <c r="P1678" s="15">
        <f>IF($A1678="","",DATE(YEAR($A1678),MONTH($A1678),1))</f>
        <v/>
      </c>
      <c r="Q1678" s="16">
        <f>IF($H1678="","",$J1678*IFERROR(INDEX('Settings'!$L$10:$L$39,MATCH($H1678,'Settings'!$I$10:$I$39,0)),0))</f>
        <v/>
      </c>
      <c r="R1678" s="17">
        <f>IF($A1678="","",$A1678-WEEKDAY($A1678,2)+1)</f>
        <v/>
      </c>
    </row>
    <row r="1679">
      <c r="A1679" s="5" t="n"/>
      <c r="B1679" s="4" t="n"/>
      <c r="C1679" s="4" t="n"/>
      <c r="D1679" s="4" t="n"/>
      <c r="E1679" s="4" t="n"/>
      <c r="F1679" s="4" t="n"/>
      <c r="G1679" s="4" t="n"/>
      <c r="H1679" s="4" t="n"/>
      <c r="I1679" s="9">
        <f>IF($H1679="","",IFERROR(INDEX('Settings'!$J$10:$J$39,MATCH($H1679,'Settings'!$I$10:$I$39,0)),""))</f>
        <v/>
      </c>
      <c r="J1679" s="6" t="n"/>
      <c r="K1679" s="8" t="n"/>
      <c r="L1679" s="8" t="n"/>
      <c r="M1679" s="14">
        <f>IF($A1679="","",$J1679*$K1679)</f>
        <v/>
      </c>
      <c r="N1679" s="14">
        <f>IF($A1679="","",$M1679-$L1679)</f>
        <v/>
      </c>
      <c r="O1679" s="4" t="n"/>
      <c r="P1679" s="15">
        <f>IF($A1679="","",DATE(YEAR($A1679),MONTH($A1679),1))</f>
        <v/>
      </c>
      <c r="Q1679" s="16">
        <f>IF($H1679="","",$J1679*IFERROR(INDEX('Settings'!$L$10:$L$39,MATCH($H1679,'Settings'!$I$10:$I$39,0)),0))</f>
        <v/>
      </c>
      <c r="R1679" s="17">
        <f>IF($A1679="","",$A1679-WEEKDAY($A1679,2)+1)</f>
        <v/>
      </c>
    </row>
    <row r="1680">
      <c r="A1680" s="5" t="n"/>
      <c r="B1680" s="4" t="n"/>
      <c r="C1680" s="4" t="n"/>
      <c r="D1680" s="4" t="n"/>
      <c r="E1680" s="4" t="n"/>
      <c r="F1680" s="4" t="n"/>
      <c r="G1680" s="4" t="n"/>
      <c r="H1680" s="4" t="n"/>
      <c r="I1680" s="9">
        <f>IF($H1680="","",IFERROR(INDEX('Settings'!$J$10:$J$39,MATCH($H1680,'Settings'!$I$10:$I$39,0)),""))</f>
        <v/>
      </c>
      <c r="J1680" s="6" t="n"/>
      <c r="K1680" s="8" t="n"/>
      <c r="L1680" s="8" t="n"/>
      <c r="M1680" s="14">
        <f>IF($A1680="","",$J1680*$K1680)</f>
        <v/>
      </c>
      <c r="N1680" s="14">
        <f>IF($A1680="","",$M1680-$L1680)</f>
        <v/>
      </c>
      <c r="O1680" s="4" t="n"/>
      <c r="P1680" s="15">
        <f>IF($A1680="","",DATE(YEAR($A1680),MONTH($A1680),1))</f>
        <v/>
      </c>
      <c r="Q1680" s="16">
        <f>IF($H1680="","",$J1680*IFERROR(INDEX('Settings'!$L$10:$L$39,MATCH($H1680,'Settings'!$I$10:$I$39,0)),0))</f>
        <v/>
      </c>
      <c r="R1680" s="17">
        <f>IF($A1680="","",$A1680-WEEKDAY($A1680,2)+1)</f>
        <v/>
      </c>
    </row>
    <row r="1681">
      <c r="A1681" s="5" t="n"/>
      <c r="B1681" s="4" t="n"/>
      <c r="C1681" s="4" t="n"/>
      <c r="D1681" s="4" t="n"/>
      <c r="E1681" s="4" t="n"/>
      <c r="F1681" s="4" t="n"/>
      <c r="G1681" s="4" t="n"/>
      <c r="H1681" s="4" t="n"/>
      <c r="I1681" s="9">
        <f>IF($H1681="","",IFERROR(INDEX('Settings'!$J$10:$J$39,MATCH($H1681,'Settings'!$I$10:$I$39,0)),""))</f>
        <v/>
      </c>
      <c r="J1681" s="6" t="n"/>
      <c r="K1681" s="8" t="n"/>
      <c r="L1681" s="8" t="n"/>
      <c r="M1681" s="14">
        <f>IF($A1681="","",$J1681*$K1681)</f>
        <v/>
      </c>
      <c r="N1681" s="14">
        <f>IF($A1681="","",$M1681-$L1681)</f>
        <v/>
      </c>
      <c r="O1681" s="4" t="n"/>
      <c r="P1681" s="15">
        <f>IF($A1681="","",DATE(YEAR($A1681),MONTH($A1681),1))</f>
        <v/>
      </c>
      <c r="Q1681" s="16">
        <f>IF($H1681="","",$J1681*IFERROR(INDEX('Settings'!$L$10:$L$39,MATCH($H1681,'Settings'!$I$10:$I$39,0)),0))</f>
        <v/>
      </c>
      <c r="R1681" s="17">
        <f>IF($A1681="","",$A1681-WEEKDAY($A1681,2)+1)</f>
        <v/>
      </c>
    </row>
    <row r="1682">
      <c r="A1682" s="5" t="n"/>
      <c r="B1682" s="4" t="n"/>
      <c r="C1682" s="4" t="n"/>
      <c r="D1682" s="4" t="n"/>
      <c r="E1682" s="4" t="n"/>
      <c r="F1682" s="4" t="n"/>
      <c r="G1682" s="4" t="n"/>
      <c r="H1682" s="4" t="n"/>
      <c r="I1682" s="9">
        <f>IF($H1682="","",IFERROR(INDEX('Settings'!$J$10:$J$39,MATCH($H1682,'Settings'!$I$10:$I$39,0)),""))</f>
        <v/>
      </c>
      <c r="J1682" s="6" t="n"/>
      <c r="K1682" s="8" t="n"/>
      <c r="L1682" s="8" t="n"/>
      <c r="M1682" s="14">
        <f>IF($A1682="","",$J1682*$K1682)</f>
        <v/>
      </c>
      <c r="N1682" s="14">
        <f>IF($A1682="","",$M1682-$L1682)</f>
        <v/>
      </c>
      <c r="O1682" s="4" t="n"/>
      <c r="P1682" s="15">
        <f>IF($A1682="","",DATE(YEAR($A1682),MONTH($A1682),1))</f>
        <v/>
      </c>
      <c r="Q1682" s="16">
        <f>IF($H1682="","",$J1682*IFERROR(INDEX('Settings'!$L$10:$L$39,MATCH($H1682,'Settings'!$I$10:$I$39,0)),0))</f>
        <v/>
      </c>
      <c r="R1682" s="17">
        <f>IF($A1682="","",$A1682-WEEKDAY($A1682,2)+1)</f>
        <v/>
      </c>
    </row>
    <row r="1683">
      <c r="A1683" s="5" t="n"/>
      <c r="B1683" s="4" t="n"/>
      <c r="C1683" s="4" t="n"/>
      <c r="D1683" s="4" t="n"/>
      <c r="E1683" s="4" t="n"/>
      <c r="F1683" s="4" t="n"/>
      <c r="G1683" s="4" t="n"/>
      <c r="H1683" s="4" t="n"/>
      <c r="I1683" s="9">
        <f>IF($H1683="","",IFERROR(INDEX('Settings'!$J$10:$J$39,MATCH($H1683,'Settings'!$I$10:$I$39,0)),""))</f>
        <v/>
      </c>
      <c r="J1683" s="6" t="n"/>
      <c r="K1683" s="8" t="n"/>
      <c r="L1683" s="8" t="n"/>
      <c r="M1683" s="14">
        <f>IF($A1683="","",$J1683*$K1683)</f>
        <v/>
      </c>
      <c r="N1683" s="14">
        <f>IF($A1683="","",$M1683-$L1683)</f>
        <v/>
      </c>
      <c r="O1683" s="4" t="n"/>
      <c r="P1683" s="15">
        <f>IF($A1683="","",DATE(YEAR($A1683),MONTH($A1683),1))</f>
        <v/>
      </c>
      <c r="Q1683" s="16">
        <f>IF($H1683="","",$J1683*IFERROR(INDEX('Settings'!$L$10:$L$39,MATCH($H1683,'Settings'!$I$10:$I$39,0)),0))</f>
        <v/>
      </c>
      <c r="R1683" s="17">
        <f>IF($A1683="","",$A1683-WEEKDAY($A1683,2)+1)</f>
        <v/>
      </c>
    </row>
    <row r="1684">
      <c r="A1684" s="5" t="n"/>
      <c r="B1684" s="4" t="n"/>
      <c r="C1684" s="4" t="n"/>
      <c r="D1684" s="4" t="n"/>
      <c r="E1684" s="4" t="n"/>
      <c r="F1684" s="4" t="n"/>
      <c r="G1684" s="4" t="n"/>
      <c r="H1684" s="4" t="n"/>
      <c r="I1684" s="9">
        <f>IF($H1684="","",IFERROR(INDEX('Settings'!$J$10:$J$39,MATCH($H1684,'Settings'!$I$10:$I$39,0)),""))</f>
        <v/>
      </c>
      <c r="J1684" s="6" t="n"/>
      <c r="K1684" s="8" t="n"/>
      <c r="L1684" s="8" t="n"/>
      <c r="M1684" s="14">
        <f>IF($A1684="","",$J1684*$K1684)</f>
        <v/>
      </c>
      <c r="N1684" s="14">
        <f>IF($A1684="","",$M1684-$L1684)</f>
        <v/>
      </c>
      <c r="O1684" s="4" t="n"/>
      <c r="P1684" s="15">
        <f>IF($A1684="","",DATE(YEAR($A1684),MONTH($A1684),1))</f>
        <v/>
      </c>
      <c r="Q1684" s="16">
        <f>IF($H1684="","",$J1684*IFERROR(INDEX('Settings'!$L$10:$L$39,MATCH($H1684,'Settings'!$I$10:$I$39,0)),0))</f>
        <v/>
      </c>
      <c r="R1684" s="17">
        <f>IF($A1684="","",$A1684-WEEKDAY($A1684,2)+1)</f>
        <v/>
      </c>
    </row>
    <row r="1685">
      <c r="A1685" s="5" t="n"/>
      <c r="B1685" s="4" t="n"/>
      <c r="C1685" s="4" t="n"/>
      <c r="D1685" s="4" t="n"/>
      <c r="E1685" s="4" t="n"/>
      <c r="F1685" s="4" t="n"/>
      <c r="G1685" s="4" t="n"/>
      <c r="H1685" s="4" t="n"/>
      <c r="I1685" s="9">
        <f>IF($H1685="","",IFERROR(INDEX('Settings'!$J$10:$J$39,MATCH($H1685,'Settings'!$I$10:$I$39,0)),""))</f>
        <v/>
      </c>
      <c r="J1685" s="6" t="n"/>
      <c r="K1685" s="8" t="n"/>
      <c r="L1685" s="8" t="n"/>
      <c r="M1685" s="14">
        <f>IF($A1685="","",$J1685*$K1685)</f>
        <v/>
      </c>
      <c r="N1685" s="14">
        <f>IF($A1685="","",$M1685-$L1685)</f>
        <v/>
      </c>
      <c r="O1685" s="4" t="n"/>
      <c r="P1685" s="15">
        <f>IF($A1685="","",DATE(YEAR($A1685),MONTH($A1685),1))</f>
        <v/>
      </c>
      <c r="Q1685" s="16">
        <f>IF($H1685="","",$J1685*IFERROR(INDEX('Settings'!$L$10:$L$39,MATCH($H1685,'Settings'!$I$10:$I$39,0)),0))</f>
        <v/>
      </c>
      <c r="R1685" s="17">
        <f>IF($A1685="","",$A1685-WEEKDAY($A1685,2)+1)</f>
        <v/>
      </c>
    </row>
    <row r="1686">
      <c r="A1686" s="5" t="n"/>
      <c r="B1686" s="4" t="n"/>
      <c r="C1686" s="4" t="n"/>
      <c r="D1686" s="4" t="n"/>
      <c r="E1686" s="4" t="n"/>
      <c r="F1686" s="4" t="n"/>
      <c r="G1686" s="4" t="n"/>
      <c r="H1686" s="4" t="n"/>
      <c r="I1686" s="9">
        <f>IF($H1686="","",IFERROR(INDEX('Settings'!$J$10:$J$39,MATCH($H1686,'Settings'!$I$10:$I$39,0)),""))</f>
        <v/>
      </c>
      <c r="J1686" s="6" t="n"/>
      <c r="K1686" s="8" t="n"/>
      <c r="L1686" s="8" t="n"/>
      <c r="M1686" s="14">
        <f>IF($A1686="","",$J1686*$K1686)</f>
        <v/>
      </c>
      <c r="N1686" s="14">
        <f>IF($A1686="","",$M1686-$L1686)</f>
        <v/>
      </c>
      <c r="O1686" s="4" t="n"/>
      <c r="P1686" s="15">
        <f>IF($A1686="","",DATE(YEAR($A1686),MONTH($A1686),1))</f>
        <v/>
      </c>
      <c r="Q1686" s="16">
        <f>IF($H1686="","",$J1686*IFERROR(INDEX('Settings'!$L$10:$L$39,MATCH($H1686,'Settings'!$I$10:$I$39,0)),0))</f>
        <v/>
      </c>
      <c r="R1686" s="17">
        <f>IF($A1686="","",$A1686-WEEKDAY($A1686,2)+1)</f>
        <v/>
      </c>
    </row>
    <row r="1687">
      <c r="A1687" s="5" t="n"/>
      <c r="B1687" s="4" t="n"/>
      <c r="C1687" s="4" t="n"/>
      <c r="D1687" s="4" t="n"/>
      <c r="E1687" s="4" t="n"/>
      <c r="F1687" s="4" t="n"/>
      <c r="G1687" s="4" t="n"/>
      <c r="H1687" s="4" t="n"/>
      <c r="I1687" s="9">
        <f>IF($H1687="","",IFERROR(INDEX('Settings'!$J$10:$J$39,MATCH($H1687,'Settings'!$I$10:$I$39,0)),""))</f>
        <v/>
      </c>
      <c r="J1687" s="6" t="n"/>
      <c r="K1687" s="8" t="n"/>
      <c r="L1687" s="8" t="n"/>
      <c r="M1687" s="14">
        <f>IF($A1687="","",$J1687*$K1687)</f>
        <v/>
      </c>
      <c r="N1687" s="14">
        <f>IF($A1687="","",$M1687-$L1687)</f>
        <v/>
      </c>
      <c r="O1687" s="4" t="n"/>
      <c r="P1687" s="15">
        <f>IF($A1687="","",DATE(YEAR($A1687),MONTH($A1687),1))</f>
        <v/>
      </c>
      <c r="Q1687" s="16">
        <f>IF($H1687="","",$J1687*IFERROR(INDEX('Settings'!$L$10:$L$39,MATCH($H1687,'Settings'!$I$10:$I$39,0)),0))</f>
        <v/>
      </c>
      <c r="R1687" s="17">
        <f>IF($A1687="","",$A1687-WEEKDAY($A1687,2)+1)</f>
        <v/>
      </c>
    </row>
    <row r="1688">
      <c r="A1688" s="5" t="n"/>
      <c r="B1688" s="4" t="n"/>
      <c r="C1688" s="4" t="n"/>
      <c r="D1688" s="4" t="n"/>
      <c r="E1688" s="4" t="n"/>
      <c r="F1688" s="4" t="n"/>
      <c r="G1688" s="4" t="n"/>
      <c r="H1688" s="4" t="n"/>
      <c r="I1688" s="9">
        <f>IF($H1688="","",IFERROR(INDEX('Settings'!$J$10:$J$39,MATCH($H1688,'Settings'!$I$10:$I$39,0)),""))</f>
        <v/>
      </c>
      <c r="J1688" s="6" t="n"/>
      <c r="K1688" s="8" t="n"/>
      <c r="L1688" s="8" t="n"/>
      <c r="M1688" s="14">
        <f>IF($A1688="","",$J1688*$K1688)</f>
        <v/>
      </c>
      <c r="N1688" s="14">
        <f>IF($A1688="","",$M1688-$L1688)</f>
        <v/>
      </c>
      <c r="O1688" s="4" t="n"/>
      <c r="P1688" s="15">
        <f>IF($A1688="","",DATE(YEAR($A1688),MONTH($A1688),1))</f>
        <v/>
      </c>
      <c r="Q1688" s="16">
        <f>IF($H1688="","",$J1688*IFERROR(INDEX('Settings'!$L$10:$L$39,MATCH($H1688,'Settings'!$I$10:$I$39,0)),0))</f>
        <v/>
      </c>
      <c r="R1688" s="17">
        <f>IF($A1688="","",$A1688-WEEKDAY($A1688,2)+1)</f>
        <v/>
      </c>
    </row>
    <row r="1689">
      <c r="A1689" s="5" t="n"/>
      <c r="B1689" s="4" t="n"/>
      <c r="C1689" s="4" t="n"/>
      <c r="D1689" s="4" t="n"/>
      <c r="E1689" s="4" t="n"/>
      <c r="F1689" s="4" t="n"/>
      <c r="G1689" s="4" t="n"/>
      <c r="H1689" s="4" t="n"/>
      <c r="I1689" s="9">
        <f>IF($H1689="","",IFERROR(INDEX('Settings'!$J$10:$J$39,MATCH($H1689,'Settings'!$I$10:$I$39,0)),""))</f>
        <v/>
      </c>
      <c r="J1689" s="6" t="n"/>
      <c r="K1689" s="8" t="n"/>
      <c r="L1689" s="8" t="n"/>
      <c r="M1689" s="14">
        <f>IF($A1689="","",$J1689*$K1689)</f>
        <v/>
      </c>
      <c r="N1689" s="14">
        <f>IF($A1689="","",$M1689-$L1689)</f>
        <v/>
      </c>
      <c r="O1689" s="4" t="n"/>
      <c r="P1689" s="15">
        <f>IF($A1689="","",DATE(YEAR($A1689),MONTH($A1689),1))</f>
        <v/>
      </c>
      <c r="Q1689" s="16">
        <f>IF($H1689="","",$J1689*IFERROR(INDEX('Settings'!$L$10:$L$39,MATCH($H1689,'Settings'!$I$10:$I$39,0)),0))</f>
        <v/>
      </c>
      <c r="R1689" s="17">
        <f>IF($A1689="","",$A1689-WEEKDAY($A1689,2)+1)</f>
        <v/>
      </c>
    </row>
    <row r="1690">
      <c r="A1690" s="5" t="n"/>
      <c r="B1690" s="4" t="n"/>
      <c r="C1690" s="4" t="n"/>
      <c r="D1690" s="4" t="n"/>
      <c r="E1690" s="4" t="n"/>
      <c r="F1690" s="4" t="n"/>
      <c r="G1690" s="4" t="n"/>
      <c r="H1690" s="4" t="n"/>
      <c r="I1690" s="9">
        <f>IF($H1690="","",IFERROR(INDEX('Settings'!$J$10:$J$39,MATCH($H1690,'Settings'!$I$10:$I$39,0)),""))</f>
        <v/>
      </c>
      <c r="J1690" s="6" t="n"/>
      <c r="K1690" s="8" t="n"/>
      <c r="L1690" s="8" t="n"/>
      <c r="M1690" s="14">
        <f>IF($A1690="","",$J1690*$K1690)</f>
        <v/>
      </c>
      <c r="N1690" s="14">
        <f>IF($A1690="","",$M1690-$L1690)</f>
        <v/>
      </c>
      <c r="O1690" s="4" t="n"/>
      <c r="P1690" s="15">
        <f>IF($A1690="","",DATE(YEAR($A1690),MONTH($A1690),1))</f>
        <v/>
      </c>
      <c r="Q1690" s="16">
        <f>IF($H1690="","",$J1690*IFERROR(INDEX('Settings'!$L$10:$L$39,MATCH($H1690,'Settings'!$I$10:$I$39,0)),0))</f>
        <v/>
      </c>
      <c r="R1690" s="17">
        <f>IF($A1690="","",$A1690-WEEKDAY($A1690,2)+1)</f>
        <v/>
      </c>
    </row>
    <row r="1691">
      <c r="A1691" s="5" t="n"/>
      <c r="B1691" s="4" t="n"/>
      <c r="C1691" s="4" t="n"/>
      <c r="D1691" s="4" t="n"/>
      <c r="E1691" s="4" t="n"/>
      <c r="F1691" s="4" t="n"/>
      <c r="G1691" s="4" t="n"/>
      <c r="H1691" s="4" t="n"/>
      <c r="I1691" s="9">
        <f>IF($H1691="","",IFERROR(INDEX('Settings'!$J$10:$J$39,MATCH($H1691,'Settings'!$I$10:$I$39,0)),""))</f>
        <v/>
      </c>
      <c r="J1691" s="6" t="n"/>
      <c r="K1691" s="8" t="n"/>
      <c r="L1691" s="8" t="n"/>
      <c r="M1691" s="14">
        <f>IF($A1691="","",$J1691*$K1691)</f>
        <v/>
      </c>
      <c r="N1691" s="14">
        <f>IF($A1691="","",$M1691-$L1691)</f>
        <v/>
      </c>
      <c r="O1691" s="4" t="n"/>
      <c r="P1691" s="15">
        <f>IF($A1691="","",DATE(YEAR($A1691),MONTH($A1691),1))</f>
        <v/>
      </c>
      <c r="Q1691" s="16">
        <f>IF($H1691="","",$J1691*IFERROR(INDEX('Settings'!$L$10:$L$39,MATCH($H1691,'Settings'!$I$10:$I$39,0)),0))</f>
        <v/>
      </c>
      <c r="R1691" s="17">
        <f>IF($A1691="","",$A1691-WEEKDAY($A1691,2)+1)</f>
        <v/>
      </c>
    </row>
    <row r="1692">
      <c r="A1692" s="5" t="n"/>
      <c r="B1692" s="4" t="n"/>
      <c r="C1692" s="4" t="n"/>
      <c r="D1692" s="4" t="n"/>
      <c r="E1692" s="4" t="n"/>
      <c r="F1692" s="4" t="n"/>
      <c r="G1692" s="4" t="n"/>
      <c r="H1692" s="4" t="n"/>
      <c r="I1692" s="9">
        <f>IF($H1692="","",IFERROR(INDEX('Settings'!$J$10:$J$39,MATCH($H1692,'Settings'!$I$10:$I$39,0)),""))</f>
        <v/>
      </c>
      <c r="J1692" s="6" t="n"/>
      <c r="K1692" s="8" t="n"/>
      <c r="L1692" s="8" t="n"/>
      <c r="M1692" s="14">
        <f>IF($A1692="","",$J1692*$K1692)</f>
        <v/>
      </c>
      <c r="N1692" s="14">
        <f>IF($A1692="","",$M1692-$L1692)</f>
        <v/>
      </c>
      <c r="O1692" s="4" t="n"/>
      <c r="P1692" s="15">
        <f>IF($A1692="","",DATE(YEAR($A1692),MONTH($A1692),1))</f>
        <v/>
      </c>
      <c r="Q1692" s="16">
        <f>IF($H1692="","",$J1692*IFERROR(INDEX('Settings'!$L$10:$L$39,MATCH($H1692,'Settings'!$I$10:$I$39,0)),0))</f>
        <v/>
      </c>
      <c r="R1692" s="17">
        <f>IF($A1692="","",$A1692-WEEKDAY($A1692,2)+1)</f>
        <v/>
      </c>
    </row>
    <row r="1693">
      <c r="A1693" s="5" t="n"/>
      <c r="B1693" s="4" t="n"/>
      <c r="C1693" s="4" t="n"/>
      <c r="D1693" s="4" t="n"/>
      <c r="E1693" s="4" t="n"/>
      <c r="F1693" s="4" t="n"/>
      <c r="G1693" s="4" t="n"/>
      <c r="H1693" s="4" t="n"/>
      <c r="I1693" s="9">
        <f>IF($H1693="","",IFERROR(INDEX('Settings'!$J$10:$J$39,MATCH($H1693,'Settings'!$I$10:$I$39,0)),""))</f>
        <v/>
      </c>
      <c r="J1693" s="6" t="n"/>
      <c r="K1693" s="8" t="n"/>
      <c r="L1693" s="8" t="n"/>
      <c r="M1693" s="14">
        <f>IF($A1693="","",$J1693*$K1693)</f>
        <v/>
      </c>
      <c r="N1693" s="14">
        <f>IF($A1693="","",$M1693-$L1693)</f>
        <v/>
      </c>
      <c r="O1693" s="4" t="n"/>
      <c r="P1693" s="15">
        <f>IF($A1693="","",DATE(YEAR($A1693),MONTH($A1693),1))</f>
        <v/>
      </c>
      <c r="Q1693" s="16">
        <f>IF($H1693="","",$J1693*IFERROR(INDEX('Settings'!$L$10:$L$39,MATCH($H1693,'Settings'!$I$10:$I$39,0)),0))</f>
        <v/>
      </c>
      <c r="R1693" s="17">
        <f>IF($A1693="","",$A1693-WEEKDAY($A1693,2)+1)</f>
        <v/>
      </c>
    </row>
    <row r="1694">
      <c r="A1694" s="5" t="n"/>
      <c r="B1694" s="4" t="n"/>
      <c r="C1694" s="4" t="n"/>
      <c r="D1694" s="4" t="n"/>
      <c r="E1694" s="4" t="n"/>
      <c r="F1694" s="4" t="n"/>
      <c r="G1694" s="4" t="n"/>
      <c r="H1694" s="4" t="n"/>
      <c r="I1694" s="9">
        <f>IF($H1694="","",IFERROR(INDEX('Settings'!$J$10:$J$39,MATCH($H1694,'Settings'!$I$10:$I$39,0)),""))</f>
        <v/>
      </c>
      <c r="J1694" s="6" t="n"/>
      <c r="K1694" s="8" t="n"/>
      <c r="L1694" s="8" t="n"/>
      <c r="M1694" s="14">
        <f>IF($A1694="","",$J1694*$K1694)</f>
        <v/>
      </c>
      <c r="N1694" s="14">
        <f>IF($A1694="","",$M1694-$L1694)</f>
        <v/>
      </c>
      <c r="O1694" s="4" t="n"/>
      <c r="P1694" s="15">
        <f>IF($A1694="","",DATE(YEAR($A1694),MONTH($A1694),1))</f>
        <v/>
      </c>
      <c r="Q1694" s="16">
        <f>IF($H1694="","",$J1694*IFERROR(INDEX('Settings'!$L$10:$L$39,MATCH($H1694,'Settings'!$I$10:$I$39,0)),0))</f>
        <v/>
      </c>
      <c r="R1694" s="17">
        <f>IF($A1694="","",$A1694-WEEKDAY($A1694,2)+1)</f>
        <v/>
      </c>
    </row>
    <row r="1695">
      <c r="A1695" s="5" t="n"/>
      <c r="B1695" s="4" t="n"/>
      <c r="C1695" s="4" t="n"/>
      <c r="D1695" s="4" t="n"/>
      <c r="E1695" s="4" t="n"/>
      <c r="F1695" s="4" t="n"/>
      <c r="G1695" s="4" t="n"/>
      <c r="H1695" s="4" t="n"/>
      <c r="I1695" s="9">
        <f>IF($H1695="","",IFERROR(INDEX('Settings'!$J$10:$J$39,MATCH($H1695,'Settings'!$I$10:$I$39,0)),""))</f>
        <v/>
      </c>
      <c r="J1695" s="6" t="n"/>
      <c r="K1695" s="8" t="n"/>
      <c r="L1695" s="8" t="n"/>
      <c r="M1695" s="14">
        <f>IF($A1695="","",$J1695*$K1695)</f>
        <v/>
      </c>
      <c r="N1695" s="14">
        <f>IF($A1695="","",$M1695-$L1695)</f>
        <v/>
      </c>
      <c r="O1695" s="4" t="n"/>
      <c r="P1695" s="15">
        <f>IF($A1695="","",DATE(YEAR($A1695),MONTH($A1695),1))</f>
        <v/>
      </c>
      <c r="Q1695" s="16">
        <f>IF($H1695="","",$J1695*IFERROR(INDEX('Settings'!$L$10:$L$39,MATCH($H1695,'Settings'!$I$10:$I$39,0)),0))</f>
        <v/>
      </c>
      <c r="R1695" s="17">
        <f>IF($A1695="","",$A1695-WEEKDAY($A1695,2)+1)</f>
        <v/>
      </c>
    </row>
    <row r="1696">
      <c r="A1696" s="5" t="n"/>
      <c r="B1696" s="4" t="n"/>
      <c r="C1696" s="4" t="n"/>
      <c r="D1696" s="4" t="n"/>
      <c r="E1696" s="4" t="n"/>
      <c r="F1696" s="4" t="n"/>
      <c r="G1696" s="4" t="n"/>
      <c r="H1696" s="4" t="n"/>
      <c r="I1696" s="9">
        <f>IF($H1696="","",IFERROR(INDEX('Settings'!$J$10:$J$39,MATCH($H1696,'Settings'!$I$10:$I$39,0)),""))</f>
        <v/>
      </c>
      <c r="J1696" s="6" t="n"/>
      <c r="K1696" s="8" t="n"/>
      <c r="L1696" s="8" t="n"/>
      <c r="M1696" s="14">
        <f>IF($A1696="","",$J1696*$K1696)</f>
        <v/>
      </c>
      <c r="N1696" s="14">
        <f>IF($A1696="","",$M1696-$L1696)</f>
        <v/>
      </c>
      <c r="O1696" s="4" t="n"/>
      <c r="P1696" s="15">
        <f>IF($A1696="","",DATE(YEAR($A1696),MONTH($A1696),1))</f>
        <v/>
      </c>
      <c r="Q1696" s="16">
        <f>IF($H1696="","",$J1696*IFERROR(INDEX('Settings'!$L$10:$L$39,MATCH($H1696,'Settings'!$I$10:$I$39,0)),0))</f>
        <v/>
      </c>
      <c r="R1696" s="17">
        <f>IF($A1696="","",$A1696-WEEKDAY($A1696,2)+1)</f>
        <v/>
      </c>
    </row>
    <row r="1697">
      <c r="A1697" s="5" t="n"/>
      <c r="B1697" s="4" t="n"/>
      <c r="C1697" s="4" t="n"/>
      <c r="D1697" s="4" t="n"/>
      <c r="E1697" s="4" t="n"/>
      <c r="F1697" s="4" t="n"/>
      <c r="G1697" s="4" t="n"/>
      <c r="H1697" s="4" t="n"/>
      <c r="I1697" s="9">
        <f>IF($H1697="","",IFERROR(INDEX('Settings'!$J$10:$J$39,MATCH($H1697,'Settings'!$I$10:$I$39,0)),""))</f>
        <v/>
      </c>
      <c r="J1697" s="6" t="n"/>
      <c r="K1697" s="8" t="n"/>
      <c r="L1697" s="8" t="n"/>
      <c r="M1697" s="14">
        <f>IF($A1697="","",$J1697*$K1697)</f>
        <v/>
      </c>
      <c r="N1697" s="14">
        <f>IF($A1697="","",$M1697-$L1697)</f>
        <v/>
      </c>
      <c r="O1697" s="4" t="n"/>
      <c r="P1697" s="15">
        <f>IF($A1697="","",DATE(YEAR($A1697),MONTH($A1697),1))</f>
        <v/>
      </c>
      <c r="Q1697" s="16">
        <f>IF($H1697="","",$J1697*IFERROR(INDEX('Settings'!$L$10:$L$39,MATCH($H1697,'Settings'!$I$10:$I$39,0)),0))</f>
        <v/>
      </c>
      <c r="R1697" s="17">
        <f>IF($A1697="","",$A1697-WEEKDAY($A1697,2)+1)</f>
        <v/>
      </c>
    </row>
    <row r="1698">
      <c r="A1698" s="5" t="n"/>
      <c r="B1698" s="4" t="n"/>
      <c r="C1698" s="4" t="n"/>
      <c r="D1698" s="4" t="n"/>
      <c r="E1698" s="4" t="n"/>
      <c r="F1698" s="4" t="n"/>
      <c r="G1698" s="4" t="n"/>
      <c r="H1698" s="4" t="n"/>
      <c r="I1698" s="9">
        <f>IF($H1698="","",IFERROR(INDEX('Settings'!$J$10:$J$39,MATCH($H1698,'Settings'!$I$10:$I$39,0)),""))</f>
        <v/>
      </c>
      <c r="J1698" s="6" t="n"/>
      <c r="K1698" s="8" t="n"/>
      <c r="L1698" s="8" t="n"/>
      <c r="M1698" s="14">
        <f>IF($A1698="","",$J1698*$K1698)</f>
        <v/>
      </c>
      <c r="N1698" s="14">
        <f>IF($A1698="","",$M1698-$L1698)</f>
        <v/>
      </c>
      <c r="O1698" s="4" t="n"/>
      <c r="P1698" s="15">
        <f>IF($A1698="","",DATE(YEAR($A1698),MONTH($A1698),1))</f>
        <v/>
      </c>
      <c r="Q1698" s="16">
        <f>IF($H1698="","",$J1698*IFERROR(INDEX('Settings'!$L$10:$L$39,MATCH($H1698,'Settings'!$I$10:$I$39,0)),0))</f>
        <v/>
      </c>
      <c r="R1698" s="17">
        <f>IF($A1698="","",$A1698-WEEKDAY($A1698,2)+1)</f>
        <v/>
      </c>
    </row>
    <row r="1699">
      <c r="A1699" s="5" t="n"/>
      <c r="B1699" s="4" t="n"/>
      <c r="C1699" s="4" t="n"/>
      <c r="D1699" s="4" t="n"/>
      <c r="E1699" s="4" t="n"/>
      <c r="F1699" s="4" t="n"/>
      <c r="G1699" s="4" t="n"/>
      <c r="H1699" s="4" t="n"/>
      <c r="I1699" s="9">
        <f>IF($H1699="","",IFERROR(INDEX('Settings'!$J$10:$J$39,MATCH($H1699,'Settings'!$I$10:$I$39,0)),""))</f>
        <v/>
      </c>
      <c r="J1699" s="6" t="n"/>
      <c r="K1699" s="8" t="n"/>
      <c r="L1699" s="8" t="n"/>
      <c r="M1699" s="14">
        <f>IF($A1699="","",$J1699*$K1699)</f>
        <v/>
      </c>
      <c r="N1699" s="14">
        <f>IF($A1699="","",$M1699-$L1699)</f>
        <v/>
      </c>
      <c r="O1699" s="4" t="n"/>
      <c r="P1699" s="15">
        <f>IF($A1699="","",DATE(YEAR($A1699),MONTH($A1699),1))</f>
        <v/>
      </c>
      <c r="Q1699" s="16">
        <f>IF($H1699="","",$J1699*IFERROR(INDEX('Settings'!$L$10:$L$39,MATCH($H1699,'Settings'!$I$10:$I$39,0)),0))</f>
        <v/>
      </c>
      <c r="R1699" s="17">
        <f>IF($A1699="","",$A1699-WEEKDAY($A1699,2)+1)</f>
        <v/>
      </c>
    </row>
    <row r="1700">
      <c r="A1700" s="5" t="n"/>
      <c r="B1700" s="4" t="n"/>
      <c r="C1700" s="4" t="n"/>
      <c r="D1700" s="4" t="n"/>
      <c r="E1700" s="4" t="n"/>
      <c r="F1700" s="4" t="n"/>
      <c r="G1700" s="4" t="n"/>
      <c r="H1700" s="4" t="n"/>
      <c r="I1700" s="9">
        <f>IF($H1700="","",IFERROR(INDEX('Settings'!$J$10:$J$39,MATCH($H1700,'Settings'!$I$10:$I$39,0)),""))</f>
        <v/>
      </c>
      <c r="J1700" s="6" t="n"/>
      <c r="K1700" s="8" t="n"/>
      <c r="L1700" s="8" t="n"/>
      <c r="M1700" s="14">
        <f>IF($A1700="","",$J1700*$K1700)</f>
        <v/>
      </c>
      <c r="N1700" s="14">
        <f>IF($A1700="","",$M1700-$L1700)</f>
        <v/>
      </c>
      <c r="O1700" s="4" t="n"/>
      <c r="P1700" s="15">
        <f>IF($A1700="","",DATE(YEAR($A1700),MONTH($A1700),1))</f>
        <v/>
      </c>
      <c r="Q1700" s="16">
        <f>IF($H1700="","",$J1700*IFERROR(INDEX('Settings'!$L$10:$L$39,MATCH($H1700,'Settings'!$I$10:$I$39,0)),0))</f>
        <v/>
      </c>
      <c r="R1700" s="17">
        <f>IF($A1700="","",$A1700-WEEKDAY($A1700,2)+1)</f>
        <v/>
      </c>
    </row>
    <row r="1701">
      <c r="A1701" s="5" t="n"/>
      <c r="B1701" s="4" t="n"/>
      <c r="C1701" s="4" t="n"/>
      <c r="D1701" s="4" t="n"/>
      <c r="E1701" s="4" t="n"/>
      <c r="F1701" s="4" t="n"/>
      <c r="G1701" s="4" t="n"/>
      <c r="H1701" s="4" t="n"/>
      <c r="I1701" s="9">
        <f>IF($H1701="","",IFERROR(INDEX('Settings'!$J$10:$J$39,MATCH($H1701,'Settings'!$I$10:$I$39,0)),""))</f>
        <v/>
      </c>
      <c r="J1701" s="6" t="n"/>
      <c r="K1701" s="8" t="n"/>
      <c r="L1701" s="8" t="n"/>
      <c r="M1701" s="14">
        <f>IF($A1701="","",$J1701*$K1701)</f>
        <v/>
      </c>
      <c r="N1701" s="14">
        <f>IF($A1701="","",$M1701-$L1701)</f>
        <v/>
      </c>
      <c r="O1701" s="4" t="n"/>
      <c r="P1701" s="15">
        <f>IF($A1701="","",DATE(YEAR($A1701),MONTH($A1701),1))</f>
        <v/>
      </c>
      <c r="Q1701" s="16">
        <f>IF($H1701="","",$J1701*IFERROR(INDEX('Settings'!$L$10:$L$39,MATCH($H1701,'Settings'!$I$10:$I$39,0)),0))</f>
        <v/>
      </c>
      <c r="R1701" s="17">
        <f>IF($A1701="","",$A1701-WEEKDAY($A1701,2)+1)</f>
        <v/>
      </c>
    </row>
    <row r="1702">
      <c r="A1702" s="5" t="n"/>
      <c r="B1702" s="4" t="n"/>
      <c r="C1702" s="4" t="n"/>
      <c r="D1702" s="4" t="n"/>
      <c r="E1702" s="4" t="n"/>
      <c r="F1702" s="4" t="n"/>
      <c r="G1702" s="4" t="n"/>
      <c r="H1702" s="4" t="n"/>
      <c r="I1702" s="9">
        <f>IF($H1702="","",IFERROR(INDEX('Settings'!$J$10:$J$39,MATCH($H1702,'Settings'!$I$10:$I$39,0)),""))</f>
        <v/>
      </c>
      <c r="J1702" s="6" t="n"/>
      <c r="K1702" s="8" t="n"/>
      <c r="L1702" s="8" t="n"/>
      <c r="M1702" s="14">
        <f>IF($A1702="","",$J1702*$K1702)</f>
        <v/>
      </c>
      <c r="N1702" s="14">
        <f>IF($A1702="","",$M1702-$L1702)</f>
        <v/>
      </c>
      <c r="O1702" s="4" t="n"/>
      <c r="P1702" s="15">
        <f>IF($A1702="","",DATE(YEAR($A1702),MONTH($A1702),1))</f>
        <v/>
      </c>
      <c r="Q1702" s="16">
        <f>IF($H1702="","",$J1702*IFERROR(INDEX('Settings'!$L$10:$L$39,MATCH($H1702,'Settings'!$I$10:$I$39,0)),0))</f>
        <v/>
      </c>
      <c r="R1702" s="17">
        <f>IF($A1702="","",$A1702-WEEKDAY($A1702,2)+1)</f>
        <v/>
      </c>
    </row>
    <row r="1703">
      <c r="A1703" s="5" t="n"/>
      <c r="B1703" s="4" t="n"/>
      <c r="C1703" s="4" t="n"/>
      <c r="D1703" s="4" t="n"/>
      <c r="E1703" s="4" t="n"/>
      <c r="F1703" s="4" t="n"/>
      <c r="G1703" s="4" t="n"/>
      <c r="H1703" s="4" t="n"/>
      <c r="I1703" s="9">
        <f>IF($H1703="","",IFERROR(INDEX('Settings'!$J$10:$J$39,MATCH($H1703,'Settings'!$I$10:$I$39,0)),""))</f>
        <v/>
      </c>
      <c r="J1703" s="6" t="n"/>
      <c r="K1703" s="8" t="n"/>
      <c r="L1703" s="8" t="n"/>
      <c r="M1703" s="14">
        <f>IF($A1703="","",$J1703*$K1703)</f>
        <v/>
      </c>
      <c r="N1703" s="14">
        <f>IF($A1703="","",$M1703-$L1703)</f>
        <v/>
      </c>
      <c r="O1703" s="4" t="n"/>
      <c r="P1703" s="15">
        <f>IF($A1703="","",DATE(YEAR($A1703),MONTH($A1703),1))</f>
        <v/>
      </c>
      <c r="Q1703" s="16">
        <f>IF($H1703="","",$J1703*IFERROR(INDEX('Settings'!$L$10:$L$39,MATCH($H1703,'Settings'!$I$10:$I$39,0)),0))</f>
        <v/>
      </c>
      <c r="R1703" s="17">
        <f>IF($A1703="","",$A1703-WEEKDAY($A1703,2)+1)</f>
        <v/>
      </c>
    </row>
    <row r="1704">
      <c r="A1704" s="5" t="n"/>
      <c r="B1704" s="4" t="n"/>
      <c r="C1704" s="4" t="n"/>
      <c r="D1704" s="4" t="n"/>
      <c r="E1704" s="4" t="n"/>
      <c r="F1704" s="4" t="n"/>
      <c r="G1704" s="4" t="n"/>
      <c r="H1704" s="4" t="n"/>
      <c r="I1704" s="9">
        <f>IF($H1704="","",IFERROR(INDEX('Settings'!$J$10:$J$39,MATCH($H1704,'Settings'!$I$10:$I$39,0)),""))</f>
        <v/>
      </c>
      <c r="J1704" s="6" t="n"/>
      <c r="K1704" s="8" t="n"/>
      <c r="L1704" s="8" t="n"/>
      <c r="M1704" s="14">
        <f>IF($A1704="","",$J1704*$K1704)</f>
        <v/>
      </c>
      <c r="N1704" s="14">
        <f>IF($A1704="","",$M1704-$L1704)</f>
        <v/>
      </c>
      <c r="O1704" s="4" t="n"/>
      <c r="P1704" s="15">
        <f>IF($A1704="","",DATE(YEAR($A1704),MONTH($A1704),1))</f>
        <v/>
      </c>
      <c r="Q1704" s="16">
        <f>IF($H1704="","",$J1704*IFERROR(INDEX('Settings'!$L$10:$L$39,MATCH($H1704,'Settings'!$I$10:$I$39,0)),0))</f>
        <v/>
      </c>
      <c r="R1704" s="17">
        <f>IF($A1704="","",$A1704-WEEKDAY($A1704,2)+1)</f>
        <v/>
      </c>
    </row>
    <row r="1705">
      <c r="A1705" s="5" t="n"/>
      <c r="B1705" s="4" t="n"/>
      <c r="C1705" s="4" t="n"/>
      <c r="D1705" s="4" t="n"/>
      <c r="E1705" s="4" t="n"/>
      <c r="F1705" s="4" t="n"/>
      <c r="G1705" s="4" t="n"/>
      <c r="H1705" s="4" t="n"/>
      <c r="I1705" s="9">
        <f>IF($H1705="","",IFERROR(INDEX('Settings'!$J$10:$J$39,MATCH($H1705,'Settings'!$I$10:$I$39,0)),""))</f>
        <v/>
      </c>
      <c r="J1705" s="6" t="n"/>
      <c r="K1705" s="8" t="n"/>
      <c r="L1705" s="8" t="n"/>
      <c r="M1705" s="14">
        <f>IF($A1705="","",$J1705*$K1705)</f>
        <v/>
      </c>
      <c r="N1705" s="14">
        <f>IF($A1705="","",$M1705-$L1705)</f>
        <v/>
      </c>
      <c r="O1705" s="4" t="n"/>
      <c r="P1705" s="15">
        <f>IF($A1705="","",DATE(YEAR($A1705),MONTH($A1705),1))</f>
        <v/>
      </c>
      <c r="Q1705" s="16">
        <f>IF($H1705="","",$J1705*IFERROR(INDEX('Settings'!$L$10:$L$39,MATCH($H1705,'Settings'!$I$10:$I$39,0)),0))</f>
        <v/>
      </c>
      <c r="R1705" s="17">
        <f>IF($A1705="","",$A1705-WEEKDAY($A1705,2)+1)</f>
        <v/>
      </c>
    </row>
    <row r="1706">
      <c r="A1706" s="5" t="n"/>
      <c r="B1706" s="4" t="n"/>
      <c r="C1706" s="4" t="n"/>
      <c r="D1706" s="4" t="n"/>
      <c r="E1706" s="4" t="n"/>
      <c r="F1706" s="4" t="n"/>
      <c r="G1706" s="4" t="n"/>
      <c r="H1706" s="4" t="n"/>
      <c r="I1706" s="9">
        <f>IF($H1706="","",IFERROR(INDEX('Settings'!$J$10:$J$39,MATCH($H1706,'Settings'!$I$10:$I$39,0)),""))</f>
        <v/>
      </c>
      <c r="J1706" s="6" t="n"/>
      <c r="K1706" s="8" t="n"/>
      <c r="L1706" s="8" t="n"/>
      <c r="M1706" s="14">
        <f>IF($A1706="","",$J1706*$K1706)</f>
        <v/>
      </c>
      <c r="N1706" s="14">
        <f>IF($A1706="","",$M1706-$L1706)</f>
        <v/>
      </c>
      <c r="O1706" s="4" t="n"/>
      <c r="P1706" s="15">
        <f>IF($A1706="","",DATE(YEAR($A1706),MONTH($A1706),1))</f>
        <v/>
      </c>
      <c r="Q1706" s="16">
        <f>IF($H1706="","",$J1706*IFERROR(INDEX('Settings'!$L$10:$L$39,MATCH($H1706,'Settings'!$I$10:$I$39,0)),0))</f>
        <v/>
      </c>
      <c r="R1706" s="17">
        <f>IF($A1706="","",$A1706-WEEKDAY($A1706,2)+1)</f>
        <v/>
      </c>
    </row>
    <row r="1707">
      <c r="A1707" s="5" t="n"/>
      <c r="B1707" s="4" t="n"/>
      <c r="C1707" s="4" t="n"/>
      <c r="D1707" s="4" t="n"/>
      <c r="E1707" s="4" t="n"/>
      <c r="F1707" s="4" t="n"/>
      <c r="G1707" s="4" t="n"/>
      <c r="H1707" s="4" t="n"/>
      <c r="I1707" s="9">
        <f>IF($H1707="","",IFERROR(INDEX('Settings'!$J$10:$J$39,MATCH($H1707,'Settings'!$I$10:$I$39,0)),""))</f>
        <v/>
      </c>
      <c r="J1707" s="6" t="n"/>
      <c r="K1707" s="8" t="n"/>
      <c r="L1707" s="8" t="n"/>
      <c r="M1707" s="14">
        <f>IF($A1707="","",$J1707*$K1707)</f>
        <v/>
      </c>
      <c r="N1707" s="14">
        <f>IF($A1707="","",$M1707-$L1707)</f>
        <v/>
      </c>
      <c r="O1707" s="4" t="n"/>
      <c r="P1707" s="15">
        <f>IF($A1707="","",DATE(YEAR($A1707),MONTH($A1707),1))</f>
        <v/>
      </c>
      <c r="Q1707" s="16">
        <f>IF($H1707="","",$J1707*IFERROR(INDEX('Settings'!$L$10:$L$39,MATCH($H1707,'Settings'!$I$10:$I$39,0)),0))</f>
        <v/>
      </c>
      <c r="R1707" s="17">
        <f>IF($A1707="","",$A1707-WEEKDAY($A1707,2)+1)</f>
        <v/>
      </c>
    </row>
    <row r="1708">
      <c r="A1708" s="5" t="n"/>
      <c r="B1708" s="4" t="n"/>
      <c r="C1708" s="4" t="n"/>
      <c r="D1708" s="4" t="n"/>
      <c r="E1708" s="4" t="n"/>
      <c r="F1708" s="4" t="n"/>
      <c r="G1708" s="4" t="n"/>
      <c r="H1708" s="4" t="n"/>
      <c r="I1708" s="9">
        <f>IF($H1708="","",IFERROR(INDEX('Settings'!$J$10:$J$39,MATCH($H1708,'Settings'!$I$10:$I$39,0)),""))</f>
        <v/>
      </c>
      <c r="J1708" s="6" t="n"/>
      <c r="K1708" s="8" t="n"/>
      <c r="L1708" s="8" t="n"/>
      <c r="M1708" s="14">
        <f>IF($A1708="","",$J1708*$K1708)</f>
        <v/>
      </c>
      <c r="N1708" s="14">
        <f>IF($A1708="","",$M1708-$L1708)</f>
        <v/>
      </c>
      <c r="O1708" s="4" t="n"/>
      <c r="P1708" s="15">
        <f>IF($A1708="","",DATE(YEAR($A1708),MONTH($A1708),1))</f>
        <v/>
      </c>
      <c r="Q1708" s="16">
        <f>IF($H1708="","",$J1708*IFERROR(INDEX('Settings'!$L$10:$L$39,MATCH($H1708,'Settings'!$I$10:$I$39,0)),0))</f>
        <v/>
      </c>
      <c r="R1708" s="17">
        <f>IF($A1708="","",$A1708-WEEKDAY($A1708,2)+1)</f>
        <v/>
      </c>
    </row>
    <row r="1709">
      <c r="A1709" s="5" t="n"/>
      <c r="B1709" s="4" t="n"/>
      <c r="C1709" s="4" t="n"/>
      <c r="D1709" s="4" t="n"/>
      <c r="E1709" s="4" t="n"/>
      <c r="F1709" s="4" t="n"/>
      <c r="G1709" s="4" t="n"/>
      <c r="H1709" s="4" t="n"/>
      <c r="I1709" s="9">
        <f>IF($H1709="","",IFERROR(INDEX('Settings'!$J$10:$J$39,MATCH($H1709,'Settings'!$I$10:$I$39,0)),""))</f>
        <v/>
      </c>
      <c r="J1709" s="6" t="n"/>
      <c r="K1709" s="8" t="n"/>
      <c r="L1709" s="8" t="n"/>
      <c r="M1709" s="14">
        <f>IF($A1709="","",$J1709*$K1709)</f>
        <v/>
      </c>
      <c r="N1709" s="14">
        <f>IF($A1709="","",$M1709-$L1709)</f>
        <v/>
      </c>
      <c r="O1709" s="4" t="n"/>
      <c r="P1709" s="15">
        <f>IF($A1709="","",DATE(YEAR($A1709),MONTH($A1709),1))</f>
        <v/>
      </c>
      <c r="Q1709" s="16">
        <f>IF($H1709="","",$J1709*IFERROR(INDEX('Settings'!$L$10:$L$39,MATCH($H1709,'Settings'!$I$10:$I$39,0)),0))</f>
        <v/>
      </c>
      <c r="R1709" s="17">
        <f>IF($A1709="","",$A1709-WEEKDAY($A1709,2)+1)</f>
        <v/>
      </c>
    </row>
    <row r="1710">
      <c r="A1710" s="5" t="n"/>
      <c r="B1710" s="4" t="n"/>
      <c r="C1710" s="4" t="n"/>
      <c r="D1710" s="4" t="n"/>
      <c r="E1710" s="4" t="n"/>
      <c r="F1710" s="4" t="n"/>
      <c r="G1710" s="4" t="n"/>
      <c r="H1710" s="4" t="n"/>
      <c r="I1710" s="9">
        <f>IF($H1710="","",IFERROR(INDEX('Settings'!$J$10:$J$39,MATCH($H1710,'Settings'!$I$10:$I$39,0)),""))</f>
        <v/>
      </c>
      <c r="J1710" s="6" t="n"/>
      <c r="K1710" s="8" t="n"/>
      <c r="L1710" s="8" t="n"/>
      <c r="M1710" s="14">
        <f>IF($A1710="","",$J1710*$K1710)</f>
        <v/>
      </c>
      <c r="N1710" s="14">
        <f>IF($A1710="","",$M1710-$L1710)</f>
        <v/>
      </c>
      <c r="O1710" s="4" t="n"/>
      <c r="P1710" s="15">
        <f>IF($A1710="","",DATE(YEAR($A1710),MONTH($A1710),1))</f>
        <v/>
      </c>
      <c r="Q1710" s="16">
        <f>IF($H1710="","",$J1710*IFERROR(INDEX('Settings'!$L$10:$L$39,MATCH($H1710,'Settings'!$I$10:$I$39,0)),0))</f>
        <v/>
      </c>
      <c r="R1710" s="17">
        <f>IF($A1710="","",$A1710-WEEKDAY($A1710,2)+1)</f>
        <v/>
      </c>
    </row>
    <row r="1711">
      <c r="A1711" s="5" t="n"/>
      <c r="B1711" s="4" t="n"/>
      <c r="C1711" s="4" t="n"/>
      <c r="D1711" s="4" t="n"/>
      <c r="E1711" s="4" t="n"/>
      <c r="F1711" s="4" t="n"/>
      <c r="G1711" s="4" t="n"/>
      <c r="H1711" s="4" t="n"/>
      <c r="I1711" s="9">
        <f>IF($H1711="","",IFERROR(INDEX('Settings'!$J$10:$J$39,MATCH($H1711,'Settings'!$I$10:$I$39,0)),""))</f>
        <v/>
      </c>
      <c r="J1711" s="6" t="n"/>
      <c r="K1711" s="8" t="n"/>
      <c r="L1711" s="8" t="n"/>
      <c r="M1711" s="14">
        <f>IF($A1711="","",$J1711*$K1711)</f>
        <v/>
      </c>
      <c r="N1711" s="14">
        <f>IF($A1711="","",$M1711-$L1711)</f>
        <v/>
      </c>
      <c r="O1711" s="4" t="n"/>
      <c r="P1711" s="15">
        <f>IF($A1711="","",DATE(YEAR($A1711),MONTH($A1711),1))</f>
        <v/>
      </c>
      <c r="Q1711" s="16">
        <f>IF($H1711="","",$J1711*IFERROR(INDEX('Settings'!$L$10:$L$39,MATCH($H1711,'Settings'!$I$10:$I$39,0)),0))</f>
        <v/>
      </c>
      <c r="R1711" s="17">
        <f>IF($A1711="","",$A1711-WEEKDAY($A1711,2)+1)</f>
        <v/>
      </c>
    </row>
    <row r="1712">
      <c r="A1712" s="5" t="n"/>
      <c r="B1712" s="4" t="n"/>
      <c r="C1712" s="4" t="n"/>
      <c r="D1712" s="4" t="n"/>
      <c r="E1712" s="4" t="n"/>
      <c r="F1712" s="4" t="n"/>
      <c r="G1712" s="4" t="n"/>
      <c r="H1712" s="4" t="n"/>
      <c r="I1712" s="9">
        <f>IF($H1712="","",IFERROR(INDEX('Settings'!$J$10:$J$39,MATCH($H1712,'Settings'!$I$10:$I$39,0)),""))</f>
        <v/>
      </c>
      <c r="J1712" s="6" t="n"/>
      <c r="K1712" s="8" t="n"/>
      <c r="L1712" s="8" t="n"/>
      <c r="M1712" s="14">
        <f>IF($A1712="","",$J1712*$K1712)</f>
        <v/>
      </c>
      <c r="N1712" s="14">
        <f>IF($A1712="","",$M1712-$L1712)</f>
        <v/>
      </c>
      <c r="O1712" s="4" t="n"/>
      <c r="P1712" s="15">
        <f>IF($A1712="","",DATE(YEAR($A1712),MONTH($A1712),1))</f>
        <v/>
      </c>
      <c r="Q1712" s="16">
        <f>IF($H1712="","",$J1712*IFERROR(INDEX('Settings'!$L$10:$L$39,MATCH($H1712,'Settings'!$I$10:$I$39,0)),0))</f>
        <v/>
      </c>
      <c r="R1712" s="17">
        <f>IF($A1712="","",$A1712-WEEKDAY($A1712,2)+1)</f>
        <v/>
      </c>
    </row>
    <row r="1713">
      <c r="A1713" s="5" t="n"/>
      <c r="B1713" s="4" t="n"/>
      <c r="C1713" s="4" t="n"/>
      <c r="D1713" s="4" t="n"/>
      <c r="E1713" s="4" t="n"/>
      <c r="F1713" s="4" t="n"/>
      <c r="G1713" s="4" t="n"/>
      <c r="H1713" s="4" t="n"/>
      <c r="I1713" s="9">
        <f>IF($H1713="","",IFERROR(INDEX('Settings'!$J$10:$J$39,MATCH($H1713,'Settings'!$I$10:$I$39,0)),""))</f>
        <v/>
      </c>
      <c r="J1713" s="6" t="n"/>
      <c r="K1713" s="8" t="n"/>
      <c r="L1713" s="8" t="n"/>
      <c r="M1713" s="14">
        <f>IF($A1713="","",$J1713*$K1713)</f>
        <v/>
      </c>
      <c r="N1713" s="14">
        <f>IF($A1713="","",$M1713-$L1713)</f>
        <v/>
      </c>
      <c r="O1713" s="4" t="n"/>
      <c r="P1713" s="15">
        <f>IF($A1713="","",DATE(YEAR($A1713),MONTH($A1713),1))</f>
        <v/>
      </c>
      <c r="Q1713" s="16">
        <f>IF($H1713="","",$J1713*IFERROR(INDEX('Settings'!$L$10:$L$39,MATCH($H1713,'Settings'!$I$10:$I$39,0)),0))</f>
        <v/>
      </c>
      <c r="R1713" s="17">
        <f>IF($A1713="","",$A1713-WEEKDAY($A1713,2)+1)</f>
        <v/>
      </c>
    </row>
    <row r="1714">
      <c r="A1714" s="5" t="n"/>
      <c r="B1714" s="4" t="n"/>
      <c r="C1714" s="4" t="n"/>
      <c r="D1714" s="4" t="n"/>
      <c r="E1714" s="4" t="n"/>
      <c r="F1714" s="4" t="n"/>
      <c r="G1714" s="4" t="n"/>
      <c r="H1714" s="4" t="n"/>
      <c r="I1714" s="9">
        <f>IF($H1714="","",IFERROR(INDEX('Settings'!$J$10:$J$39,MATCH($H1714,'Settings'!$I$10:$I$39,0)),""))</f>
        <v/>
      </c>
      <c r="J1714" s="6" t="n"/>
      <c r="K1714" s="8" t="n"/>
      <c r="L1714" s="8" t="n"/>
      <c r="M1714" s="14">
        <f>IF($A1714="","",$J1714*$K1714)</f>
        <v/>
      </c>
      <c r="N1714" s="14">
        <f>IF($A1714="","",$M1714-$L1714)</f>
        <v/>
      </c>
      <c r="O1714" s="4" t="n"/>
      <c r="P1714" s="15">
        <f>IF($A1714="","",DATE(YEAR($A1714),MONTH($A1714),1))</f>
        <v/>
      </c>
      <c r="Q1714" s="16">
        <f>IF($H1714="","",$J1714*IFERROR(INDEX('Settings'!$L$10:$L$39,MATCH($H1714,'Settings'!$I$10:$I$39,0)),0))</f>
        <v/>
      </c>
      <c r="R1714" s="17">
        <f>IF($A1714="","",$A1714-WEEKDAY($A1714,2)+1)</f>
        <v/>
      </c>
    </row>
    <row r="1715">
      <c r="A1715" s="5" t="n"/>
      <c r="B1715" s="4" t="n"/>
      <c r="C1715" s="4" t="n"/>
      <c r="D1715" s="4" t="n"/>
      <c r="E1715" s="4" t="n"/>
      <c r="F1715" s="4" t="n"/>
      <c r="G1715" s="4" t="n"/>
      <c r="H1715" s="4" t="n"/>
      <c r="I1715" s="9">
        <f>IF($H1715="","",IFERROR(INDEX('Settings'!$J$10:$J$39,MATCH($H1715,'Settings'!$I$10:$I$39,0)),""))</f>
        <v/>
      </c>
      <c r="J1715" s="6" t="n"/>
      <c r="K1715" s="8" t="n"/>
      <c r="L1715" s="8" t="n"/>
      <c r="M1715" s="14">
        <f>IF($A1715="","",$J1715*$K1715)</f>
        <v/>
      </c>
      <c r="N1715" s="14">
        <f>IF($A1715="","",$M1715-$L1715)</f>
        <v/>
      </c>
      <c r="O1715" s="4" t="n"/>
      <c r="P1715" s="15">
        <f>IF($A1715="","",DATE(YEAR($A1715),MONTH($A1715),1))</f>
        <v/>
      </c>
      <c r="Q1715" s="16">
        <f>IF($H1715="","",$J1715*IFERROR(INDEX('Settings'!$L$10:$L$39,MATCH($H1715,'Settings'!$I$10:$I$39,0)),0))</f>
        <v/>
      </c>
      <c r="R1715" s="17">
        <f>IF($A1715="","",$A1715-WEEKDAY($A1715,2)+1)</f>
        <v/>
      </c>
    </row>
    <row r="1716">
      <c r="A1716" s="5" t="n"/>
      <c r="B1716" s="4" t="n"/>
      <c r="C1716" s="4" t="n"/>
      <c r="D1716" s="4" t="n"/>
      <c r="E1716" s="4" t="n"/>
      <c r="F1716" s="4" t="n"/>
      <c r="G1716" s="4" t="n"/>
      <c r="H1716" s="4" t="n"/>
      <c r="I1716" s="9">
        <f>IF($H1716="","",IFERROR(INDEX('Settings'!$J$10:$J$39,MATCH($H1716,'Settings'!$I$10:$I$39,0)),""))</f>
        <v/>
      </c>
      <c r="J1716" s="6" t="n"/>
      <c r="K1716" s="8" t="n"/>
      <c r="L1716" s="8" t="n"/>
      <c r="M1716" s="14">
        <f>IF($A1716="","",$J1716*$K1716)</f>
        <v/>
      </c>
      <c r="N1716" s="14">
        <f>IF($A1716="","",$M1716-$L1716)</f>
        <v/>
      </c>
      <c r="O1716" s="4" t="n"/>
      <c r="P1716" s="15">
        <f>IF($A1716="","",DATE(YEAR($A1716),MONTH($A1716),1))</f>
        <v/>
      </c>
      <c r="Q1716" s="16">
        <f>IF($H1716="","",$J1716*IFERROR(INDEX('Settings'!$L$10:$L$39,MATCH($H1716,'Settings'!$I$10:$I$39,0)),0))</f>
        <v/>
      </c>
      <c r="R1716" s="17">
        <f>IF($A1716="","",$A1716-WEEKDAY($A1716,2)+1)</f>
        <v/>
      </c>
    </row>
    <row r="1717">
      <c r="A1717" s="5" t="n"/>
      <c r="B1717" s="4" t="n"/>
      <c r="C1717" s="4" t="n"/>
      <c r="D1717" s="4" t="n"/>
      <c r="E1717" s="4" t="n"/>
      <c r="F1717" s="4" t="n"/>
      <c r="G1717" s="4" t="n"/>
      <c r="H1717" s="4" t="n"/>
      <c r="I1717" s="9">
        <f>IF($H1717="","",IFERROR(INDEX('Settings'!$J$10:$J$39,MATCH($H1717,'Settings'!$I$10:$I$39,0)),""))</f>
        <v/>
      </c>
      <c r="J1717" s="6" t="n"/>
      <c r="K1717" s="8" t="n"/>
      <c r="L1717" s="8" t="n"/>
      <c r="M1717" s="14">
        <f>IF($A1717="","",$J1717*$K1717)</f>
        <v/>
      </c>
      <c r="N1717" s="14">
        <f>IF($A1717="","",$M1717-$L1717)</f>
        <v/>
      </c>
      <c r="O1717" s="4" t="n"/>
      <c r="P1717" s="15">
        <f>IF($A1717="","",DATE(YEAR($A1717),MONTH($A1717),1))</f>
        <v/>
      </c>
      <c r="Q1717" s="16">
        <f>IF($H1717="","",$J1717*IFERROR(INDEX('Settings'!$L$10:$L$39,MATCH($H1717,'Settings'!$I$10:$I$39,0)),0))</f>
        <v/>
      </c>
      <c r="R1717" s="17">
        <f>IF($A1717="","",$A1717-WEEKDAY($A1717,2)+1)</f>
        <v/>
      </c>
    </row>
    <row r="1718">
      <c r="A1718" s="5" t="n"/>
      <c r="B1718" s="4" t="n"/>
      <c r="C1718" s="4" t="n"/>
      <c r="D1718" s="4" t="n"/>
      <c r="E1718" s="4" t="n"/>
      <c r="F1718" s="4" t="n"/>
      <c r="G1718" s="4" t="n"/>
      <c r="H1718" s="4" t="n"/>
      <c r="I1718" s="9">
        <f>IF($H1718="","",IFERROR(INDEX('Settings'!$J$10:$J$39,MATCH($H1718,'Settings'!$I$10:$I$39,0)),""))</f>
        <v/>
      </c>
      <c r="J1718" s="6" t="n"/>
      <c r="K1718" s="8" t="n"/>
      <c r="L1718" s="8" t="n"/>
      <c r="M1718" s="14">
        <f>IF($A1718="","",$J1718*$K1718)</f>
        <v/>
      </c>
      <c r="N1718" s="14">
        <f>IF($A1718="","",$M1718-$L1718)</f>
        <v/>
      </c>
      <c r="O1718" s="4" t="n"/>
      <c r="P1718" s="15">
        <f>IF($A1718="","",DATE(YEAR($A1718),MONTH($A1718),1))</f>
        <v/>
      </c>
      <c r="Q1718" s="16">
        <f>IF($H1718="","",$J1718*IFERROR(INDEX('Settings'!$L$10:$L$39,MATCH($H1718,'Settings'!$I$10:$I$39,0)),0))</f>
        <v/>
      </c>
      <c r="R1718" s="17">
        <f>IF($A1718="","",$A1718-WEEKDAY($A1718,2)+1)</f>
        <v/>
      </c>
    </row>
    <row r="1719">
      <c r="A1719" s="5" t="n"/>
      <c r="B1719" s="4" t="n"/>
      <c r="C1719" s="4" t="n"/>
      <c r="D1719" s="4" t="n"/>
      <c r="E1719" s="4" t="n"/>
      <c r="F1719" s="4" t="n"/>
      <c r="G1719" s="4" t="n"/>
      <c r="H1719" s="4" t="n"/>
      <c r="I1719" s="9">
        <f>IF($H1719="","",IFERROR(INDEX('Settings'!$J$10:$J$39,MATCH($H1719,'Settings'!$I$10:$I$39,0)),""))</f>
        <v/>
      </c>
      <c r="J1719" s="6" t="n"/>
      <c r="K1719" s="8" t="n"/>
      <c r="L1719" s="8" t="n"/>
      <c r="M1719" s="14">
        <f>IF($A1719="","",$J1719*$K1719)</f>
        <v/>
      </c>
      <c r="N1719" s="14">
        <f>IF($A1719="","",$M1719-$L1719)</f>
        <v/>
      </c>
      <c r="O1719" s="4" t="n"/>
      <c r="P1719" s="15">
        <f>IF($A1719="","",DATE(YEAR($A1719),MONTH($A1719),1))</f>
        <v/>
      </c>
      <c r="Q1719" s="16">
        <f>IF($H1719="","",$J1719*IFERROR(INDEX('Settings'!$L$10:$L$39,MATCH($H1719,'Settings'!$I$10:$I$39,0)),0))</f>
        <v/>
      </c>
      <c r="R1719" s="17">
        <f>IF($A1719="","",$A1719-WEEKDAY($A1719,2)+1)</f>
        <v/>
      </c>
    </row>
    <row r="1720">
      <c r="A1720" s="5" t="n"/>
      <c r="B1720" s="4" t="n"/>
      <c r="C1720" s="4" t="n"/>
      <c r="D1720" s="4" t="n"/>
      <c r="E1720" s="4" t="n"/>
      <c r="F1720" s="4" t="n"/>
      <c r="G1720" s="4" t="n"/>
      <c r="H1720" s="4" t="n"/>
      <c r="I1720" s="9">
        <f>IF($H1720="","",IFERROR(INDEX('Settings'!$J$10:$J$39,MATCH($H1720,'Settings'!$I$10:$I$39,0)),""))</f>
        <v/>
      </c>
      <c r="J1720" s="6" t="n"/>
      <c r="K1720" s="8" t="n"/>
      <c r="L1720" s="8" t="n"/>
      <c r="M1720" s="14">
        <f>IF($A1720="","",$J1720*$K1720)</f>
        <v/>
      </c>
      <c r="N1720" s="14">
        <f>IF($A1720="","",$M1720-$L1720)</f>
        <v/>
      </c>
      <c r="O1720" s="4" t="n"/>
      <c r="P1720" s="15">
        <f>IF($A1720="","",DATE(YEAR($A1720),MONTH($A1720),1))</f>
        <v/>
      </c>
      <c r="Q1720" s="16">
        <f>IF($H1720="","",$J1720*IFERROR(INDEX('Settings'!$L$10:$L$39,MATCH($H1720,'Settings'!$I$10:$I$39,0)),0))</f>
        <v/>
      </c>
      <c r="R1720" s="17">
        <f>IF($A1720="","",$A1720-WEEKDAY($A1720,2)+1)</f>
        <v/>
      </c>
    </row>
    <row r="1721">
      <c r="A1721" s="5" t="n"/>
      <c r="B1721" s="4" t="n"/>
      <c r="C1721" s="4" t="n"/>
      <c r="D1721" s="4" t="n"/>
      <c r="E1721" s="4" t="n"/>
      <c r="F1721" s="4" t="n"/>
      <c r="G1721" s="4" t="n"/>
      <c r="H1721" s="4" t="n"/>
      <c r="I1721" s="9">
        <f>IF($H1721="","",IFERROR(INDEX('Settings'!$J$10:$J$39,MATCH($H1721,'Settings'!$I$10:$I$39,0)),""))</f>
        <v/>
      </c>
      <c r="J1721" s="6" t="n"/>
      <c r="K1721" s="8" t="n"/>
      <c r="L1721" s="8" t="n"/>
      <c r="M1721" s="14">
        <f>IF($A1721="","",$J1721*$K1721)</f>
        <v/>
      </c>
      <c r="N1721" s="14">
        <f>IF($A1721="","",$M1721-$L1721)</f>
        <v/>
      </c>
      <c r="O1721" s="4" t="n"/>
      <c r="P1721" s="15">
        <f>IF($A1721="","",DATE(YEAR($A1721),MONTH($A1721),1))</f>
        <v/>
      </c>
      <c r="Q1721" s="16">
        <f>IF($H1721="","",$J1721*IFERROR(INDEX('Settings'!$L$10:$L$39,MATCH($H1721,'Settings'!$I$10:$I$39,0)),0))</f>
        <v/>
      </c>
      <c r="R1721" s="17">
        <f>IF($A1721="","",$A1721-WEEKDAY($A1721,2)+1)</f>
        <v/>
      </c>
    </row>
    <row r="1722">
      <c r="A1722" s="5" t="n"/>
      <c r="B1722" s="4" t="n"/>
      <c r="C1722" s="4" t="n"/>
      <c r="D1722" s="4" t="n"/>
      <c r="E1722" s="4" t="n"/>
      <c r="F1722" s="4" t="n"/>
      <c r="G1722" s="4" t="n"/>
      <c r="H1722" s="4" t="n"/>
      <c r="I1722" s="9">
        <f>IF($H1722="","",IFERROR(INDEX('Settings'!$J$10:$J$39,MATCH($H1722,'Settings'!$I$10:$I$39,0)),""))</f>
        <v/>
      </c>
      <c r="J1722" s="6" t="n"/>
      <c r="K1722" s="8" t="n"/>
      <c r="L1722" s="8" t="n"/>
      <c r="M1722" s="14">
        <f>IF($A1722="","",$J1722*$K1722)</f>
        <v/>
      </c>
      <c r="N1722" s="14">
        <f>IF($A1722="","",$M1722-$L1722)</f>
        <v/>
      </c>
      <c r="O1722" s="4" t="n"/>
      <c r="P1722" s="15">
        <f>IF($A1722="","",DATE(YEAR($A1722),MONTH($A1722),1))</f>
        <v/>
      </c>
      <c r="Q1722" s="16">
        <f>IF($H1722="","",$J1722*IFERROR(INDEX('Settings'!$L$10:$L$39,MATCH($H1722,'Settings'!$I$10:$I$39,0)),0))</f>
        <v/>
      </c>
      <c r="R1722" s="17">
        <f>IF($A1722="","",$A1722-WEEKDAY($A1722,2)+1)</f>
        <v/>
      </c>
    </row>
    <row r="1723">
      <c r="A1723" s="5" t="n"/>
      <c r="B1723" s="4" t="n"/>
      <c r="C1723" s="4" t="n"/>
      <c r="D1723" s="4" t="n"/>
      <c r="E1723" s="4" t="n"/>
      <c r="F1723" s="4" t="n"/>
      <c r="G1723" s="4" t="n"/>
      <c r="H1723" s="4" t="n"/>
      <c r="I1723" s="9">
        <f>IF($H1723="","",IFERROR(INDEX('Settings'!$J$10:$J$39,MATCH($H1723,'Settings'!$I$10:$I$39,0)),""))</f>
        <v/>
      </c>
      <c r="J1723" s="6" t="n"/>
      <c r="K1723" s="8" t="n"/>
      <c r="L1723" s="8" t="n"/>
      <c r="M1723" s="14">
        <f>IF($A1723="","",$J1723*$K1723)</f>
        <v/>
      </c>
      <c r="N1723" s="14">
        <f>IF($A1723="","",$M1723-$L1723)</f>
        <v/>
      </c>
      <c r="O1723" s="4" t="n"/>
      <c r="P1723" s="15">
        <f>IF($A1723="","",DATE(YEAR($A1723),MONTH($A1723),1))</f>
        <v/>
      </c>
      <c r="Q1723" s="16">
        <f>IF($H1723="","",$J1723*IFERROR(INDEX('Settings'!$L$10:$L$39,MATCH($H1723,'Settings'!$I$10:$I$39,0)),0))</f>
        <v/>
      </c>
      <c r="R1723" s="17">
        <f>IF($A1723="","",$A1723-WEEKDAY($A1723,2)+1)</f>
        <v/>
      </c>
    </row>
    <row r="1724">
      <c r="A1724" s="5" t="n"/>
      <c r="B1724" s="4" t="n"/>
      <c r="C1724" s="4" t="n"/>
      <c r="D1724" s="4" t="n"/>
      <c r="E1724" s="4" t="n"/>
      <c r="F1724" s="4" t="n"/>
      <c r="G1724" s="4" t="n"/>
      <c r="H1724" s="4" t="n"/>
      <c r="I1724" s="9">
        <f>IF($H1724="","",IFERROR(INDEX('Settings'!$J$10:$J$39,MATCH($H1724,'Settings'!$I$10:$I$39,0)),""))</f>
        <v/>
      </c>
      <c r="J1724" s="6" t="n"/>
      <c r="K1724" s="8" t="n"/>
      <c r="L1724" s="8" t="n"/>
      <c r="M1724" s="14">
        <f>IF($A1724="","",$J1724*$K1724)</f>
        <v/>
      </c>
      <c r="N1724" s="14">
        <f>IF($A1724="","",$M1724-$L1724)</f>
        <v/>
      </c>
      <c r="O1724" s="4" t="n"/>
      <c r="P1724" s="15">
        <f>IF($A1724="","",DATE(YEAR($A1724),MONTH($A1724),1))</f>
        <v/>
      </c>
      <c r="Q1724" s="16">
        <f>IF($H1724="","",$J1724*IFERROR(INDEX('Settings'!$L$10:$L$39,MATCH($H1724,'Settings'!$I$10:$I$39,0)),0))</f>
        <v/>
      </c>
      <c r="R1724" s="17">
        <f>IF($A1724="","",$A1724-WEEKDAY($A1724,2)+1)</f>
        <v/>
      </c>
    </row>
    <row r="1725">
      <c r="A1725" s="5" t="n"/>
      <c r="B1725" s="4" t="n"/>
      <c r="C1725" s="4" t="n"/>
      <c r="D1725" s="4" t="n"/>
      <c r="E1725" s="4" t="n"/>
      <c r="F1725" s="4" t="n"/>
      <c r="G1725" s="4" t="n"/>
      <c r="H1725" s="4" t="n"/>
      <c r="I1725" s="9">
        <f>IF($H1725="","",IFERROR(INDEX('Settings'!$J$10:$J$39,MATCH($H1725,'Settings'!$I$10:$I$39,0)),""))</f>
        <v/>
      </c>
      <c r="J1725" s="6" t="n"/>
      <c r="K1725" s="8" t="n"/>
      <c r="L1725" s="8" t="n"/>
      <c r="M1725" s="14">
        <f>IF($A1725="","",$J1725*$K1725)</f>
        <v/>
      </c>
      <c r="N1725" s="14">
        <f>IF($A1725="","",$M1725-$L1725)</f>
        <v/>
      </c>
      <c r="O1725" s="4" t="n"/>
      <c r="P1725" s="15">
        <f>IF($A1725="","",DATE(YEAR($A1725),MONTH($A1725),1))</f>
        <v/>
      </c>
      <c r="Q1725" s="16">
        <f>IF($H1725="","",$J1725*IFERROR(INDEX('Settings'!$L$10:$L$39,MATCH($H1725,'Settings'!$I$10:$I$39,0)),0))</f>
        <v/>
      </c>
      <c r="R1725" s="17">
        <f>IF($A1725="","",$A1725-WEEKDAY($A1725,2)+1)</f>
        <v/>
      </c>
    </row>
    <row r="1726">
      <c r="A1726" s="5" t="n"/>
      <c r="B1726" s="4" t="n"/>
      <c r="C1726" s="4" t="n"/>
      <c r="D1726" s="4" t="n"/>
      <c r="E1726" s="4" t="n"/>
      <c r="F1726" s="4" t="n"/>
      <c r="G1726" s="4" t="n"/>
      <c r="H1726" s="4" t="n"/>
      <c r="I1726" s="9">
        <f>IF($H1726="","",IFERROR(INDEX('Settings'!$J$10:$J$39,MATCH($H1726,'Settings'!$I$10:$I$39,0)),""))</f>
        <v/>
      </c>
      <c r="J1726" s="6" t="n"/>
      <c r="K1726" s="8" t="n"/>
      <c r="L1726" s="8" t="n"/>
      <c r="M1726" s="14">
        <f>IF($A1726="","",$J1726*$K1726)</f>
        <v/>
      </c>
      <c r="N1726" s="14">
        <f>IF($A1726="","",$M1726-$L1726)</f>
        <v/>
      </c>
      <c r="O1726" s="4" t="n"/>
      <c r="P1726" s="15">
        <f>IF($A1726="","",DATE(YEAR($A1726),MONTH($A1726),1))</f>
        <v/>
      </c>
      <c r="Q1726" s="16">
        <f>IF($H1726="","",$J1726*IFERROR(INDEX('Settings'!$L$10:$L$39,MATCH($H1726,'Settings'!$I$10:$I$39,0)),0))</f>
        <v/>
      </c>
      <c r="R1726" s="17">
        <f>IF($A1726="","",$A1726-WEEKDAY($A1726,2)+1)</f>
        <v/>
      </c>
    </row>
    <row r="1727">
      <c r="A1727" s="5" t="n"/>
      <c r="B1727" s="4" t="n"/>
      <c r="C1727" s="4" t="n"/>
      <c r="D1727" s="4" t="n"/>
      <c r="E1727" s="4" t="n"/>
      <c r="F1727" s="4" t="n"/>
      <c r="G1727" s="4" t="n"/>
      <c r="H1727" s="4" t="n"/>
      <c r="I1727" s="9">
        <f>IF($H1727="","",IFERROR(INDEX('Settings'!$J$10:$J$39,MATCH($H1727,'Settings'!$I$10:$I$39,0)),""))</f>
        <v/>
      </c>
      <c r="J1727" s="6" t="n"/>
      <c r="K1727" s="8" t="n"/>
      <c r="L1727" s="8" t="n"/>
      <c r="M1727" s="14">
        <f>IF($A1727="","",$J1727*$K1727)</f>
        <v/>
      </c>
      <c r="N1727" s="14">
        <f>IF($A1727="","",$M1727-$L1727)</f>
        <v/>
      </c>
      <c r="O1727" s="4" t="n"/>
      <c r="P1727" s="15">
        <f>IF($A1727="","",DATE(YEAR($A1727),MONTH($A1727),1))</f>
        <v/>
      </c>
      <c r="Q1727" s="16">
        <f>IF($H1727="","",$J1727*IFERROR(INDEX('Settings'!$L$10:$L$39,MATCH($H1727,'Settings'!$I$10:$I$39,0)),0))</f>
        <v/>
      </c>
      <c r="R1727" s="17">
        <f>IF($A1727="","",$A1727-WEEKDAY($A1727,2)+1)</f>
        <v/>
      </c>
    </row>
    <row r="1728">
      <c r="A1728" s="5" t="n"/>
      <c r="B1728" s="4" t="n"/>
      <c r="C1728" s="4" t="n"/>
      <c r="D1728" s="4" t="n"/>
      <c r="E1728" s="4" t="n"/>
      <c r="F1728" s="4" t="n"/>
      <c r="G1728" s="4" t="n"/>
      <c r="H1728" s="4" t="n"/>
      <c r="I1728" s="9">
        <f>IF($H1728="","",IFERROR(INDEX('Settings'!$J$10:$J$39,MATCH($H1728,'Settings'!$I$10:$I$39,0)),""))</f>
        <v/>
      </c>
      <c r="J1728" s="6" t="n"/>
      <c r="K1728" s="8" t="n"/>
      <c r="L1728" s="8" t="n"/>
      <c r="M1728" s="14">
        <f>IF($A1728="","",$J1728*$K1728)</f>
        <v/>
      </c>
      <c r="N1728" s="14">
        <f>IF($A1728="","",$M1728-$L1728)</f>
        <v/>
      </c>
      <c r="O1728" s="4" t="n"/>
      <c r="P1728" s="15">
        <f>IF($A1728="","",DATE(YEAR($A1728),MONTH($A1728),1))</f>
        <v/>
      </c>
      <c r="Q1728" s="16">
        <f>IF($H1728="","",$J1728*IFERROR(INDEX('Settings'!$L$10:$L$39,MATCH($H1728,'Settings'!$I$10:$I$39,0)),0))</f>
        <v/>
      </c>
      <c r="R1728" s="17">
        <f>IF($A1728="","",$A1728-WEEKDAY($A1728,2)+1)</f>
        <v/>
      </c>
    </row>
    <row r="1729">
      <c r="A1729" s="5" t="n"/>
      <c r="B1729" s="4" t="n"/>
      <c r="C1729" s="4" t="n"/>
      <c r="D1729" s="4" t="n"/>
      <c r="E1729" s="4" t="n"/>
      <c r="F1729" s="4" t="n"/>
      <c r="G1729" s="4" t="n"/>
      <c r="H1729" s="4" t="n"/>
      <c r="I1729" s="9">
        <f>IF($H1729="","",IFERROR(INDEX('Settings'!$J$10:$J$39,MATCH($H1729,'Settings'!$I$10:$I$39,0)),""))</f>
        <v/>
      </c>
      <c r="J1729" s="6" t="n"/>
      <c r="K1729" s="8" t="n"/>
      <c r="L1729" s="8" t="n"/>
      <c r="M1729" s="14">
        <f>IF($A1729="","",$J1729*$K1729)</f>
        <v/>
      </c>
      <c r="N1729" s="14">
        <f>IF($A1729="","",$M1729-$L1729)</f>
        <v/>
      </c>
      <c r="O1729" s="4" t="n"/>
      <c r="P1729" s="15">
        <f>IF($A1729="","",DATE(YEAR($A1729),MONTH($A1729),1))</f>
        <v/>
      </c>
      <c r="Q1729" s="16">
        <f>IF($H1729="","",$J1729*IFERROR(INDEX('Settings'!$L$10:$L$39,MATCH($H1729,'Settings'!$I$10:$I$39,0)),0))</f>
        <v/>
      </c>
      <c r="R1729" s="17">
        <f>IF($A1729="","",$A1729-WEEKDAY($A1729,2)+1)</f>
        <v/>
      </c>
    </row>
    <row r="1730">
      <c r="A1730" s="5" t="n"/>
      <c r="B1730" s="4" t="n"/>
      <c r="C1730" s="4" t="n"/>
      <c r="D1730" s="4" t="n"/>
      <c r="E1730" s="4" t="n"/>
      <c r="F1730" s="4" t="n"/>
      <c r="G1730" s="4" t="n"/>
      <c r="H1730" s="4" t="n"/>
      <c r="I1730" s="9">
        <f>IF($H1730="","",IFERROR(INDEX('Settings'!$J$10:$J$39,MATCH($H1730,'Settings'!$I$10:$I$39,0)),""))</f>
        <v/>
      </c>
      <c r="J1730" s="6" t="n"/>
      <c r="K1730" s="8" t="n"/>
      <c r="L1730" s="8" t="n"/>
      <c r="M1730" s="14">
        <f>IF($A1730="","",$J1730*$K1730)</f>
        <v/>
      </c>
      <c r="N1730" s="14">
        <f>IF($A1730="","",$M1730-$L1730)</f>
        <v/>
      </c>
      <c r="O1730" s="4" t="n"/>
      <c r="P1730" s="15">
        <f>IF($A1730="","",DATE(YEAR($A1730),MONTH($A1730),1))</f>
        <v/>
      </c>
      <c r="Q1730" s="16">
        <f>IF($H1730="","",$J1730*IFERROR(INDEX('Settings'!$L$10:$L$39,MATCH($H1730,'Settings'!$I$10:$I$39,0)),0))</f>
        <v/>
      </c>
      <c r="R1730" s="17">
        <f>IF($A1730="","",$A1730-WEEKDAY($A1730,2)+1)</f>
        <v/>
      </c>
    </row>
    <row r="1731">
      <c r="A1731" s="5" t="n"/>
      <c r="B1731" s="4" t="n"/>
      <c r="C1731" s="4" t="n"/>
      <c r="D1731" s="4" t="n"/>
      <c r="E1731" s="4" t="n"/>
      <c r="F1731" s="4" t="n"/>
      <c r="G1731" s="4" t="n"/>
      <c r="H1731" s="4" t="n"/>
      <c r="I1731" s="9">
        <f>IF($H1731="","",IFERROR(INDEX('Settings'!$J$10:$J$39,MATCH($H1731,'Settings'!$I$10:$I$39,0)),""))</f>
        <v/>
      </c>
      <c r="J1731" s="6" t="n"/>
      <c r="K1731" s="8" t="n"/>
      <c r="L1731" s="8" t="n"/>
      <c r="M1731" s="14">
        <f>IF($A1731="","",$J1731*$K1731)</f>
        <v/>
      </c>
      <c r="N1731" s="14">
        <f>IF($A1731="","",$M1731-$L1731)</f>
        <v/>
      </c>
      <c r="O1731" s="4" t="n"/>
      <c r="P1731" s="15">
        <f>IF($A1731="","",DATE(YEAR($A1731),MONTH($A1731),1))</f>
        <v/>
      </c>
      <c r="Q1731" s="16">
        <f>IF($H1731="","",$J1731*IFERROR(INDEX('Settings'!$L$10:$L$39,MATCH($H1731,'Settings'!$I$10:$I$39,0)),0))</f>
        <v/>
      </c>
      <c r="R1731" s="17">
        <f>IF($A1731="","",$A1731-WEEKDAY($A1731,2)+1)</f>
        <v/>
      </c>
    </row>
    <row r="1732">
      <c r="A1732" s="5" t="n"/>
      <c r="B1732" s="4" t="n"/>
      <c r="C1732" s="4" t="n"/>
      <c r="D1732" s="4" t="n"/>
      <c r="E1732" s="4" t="n"/>
      <c r="F1732" s="4" t="n"/>
      <c r="G1732" s="4" t="n"/>
      <c r="H1732" s="4" t="n"/>
      <c r="I1732" s="9">
        <f>IF($H1732="","",IFERROR(INDEX('Settings'!$J$10:$J$39,MATCH($H1732,'Settings'!$I$10:$I$39,0)),""))</f>
        <v/>
      </c>
      <c r="J1732" s="6" t="n"/>
      <c r="K1732" s="8" t="n"/>
      <c r="L1732" s="8" t="n"/>
      <c r="M1732" s="14">
        <f>IF($A1732="","",$J1732*$K1732)</f>
        <v/>
      </c>
      <c r="N1732" s="14">
        <f>IF($A1732="","",$M1732-$L1732)</f>
        <v/>
      </c>
      <c r="O1732" s="4" t="n"/>
      <c r="P1732" s="15">
        <f>IF($A1732="","",DATE(YEAR($A1732),MONTH($A1732),1))</f>
        <v/>
      </c>
      <c r="Q1732" s="16">
        <f>IF($H1732="","",$J1732*IFERROR(INDEX('Settings'!$L$10:$L$39,MATCH($H1732,'Settings'!$I$10:$I$39,0)),0))</f>
        <v/>
      </c>
      <c r="R1732" s="17">
        <f>IF($A1732="","",$A1732-WEEKDAY($A1732,2)+1)</f>
        <v/>
      </c>
    </row>
    <row r="1733">
      <c r="A1733" s="5" t="n"/>
      <c r="B1733" s="4" t="n"/>
      <c r="C1733" s="4" t="n"/>
      <c r="D1733" s="4" t="n"/>
      <c r="E1733" s="4" t="n"/>
      <c r="F1733" s="4" t="n"/>
      <c r="G1733" s="4" t="n"/>
      <c r="H1733" s="4" t="n"/>
      <c r="I1733" s="9">
        <f>IF($H1733="","",IFERROR(INDEX('Settings'!$J$10:$J$39,MATCH($H1733,'Settings'!$I$10:$I$39,0)),""))</f>
        <v/>
      </c>
      <c r="J1733" s="6" t="n"/>
      <c r="K1733" s="8" t="n"/>
      <c r="L1733" s="8" t="n"/>
      <c r="M1733" s="14">
        <f>IF($A1733="","",$J1733*$K1733)</f>
        <v/>
      </c>
      <c r="N1733" s="14">
        <f>IF($A1733="","",$M1733-$L1733)</f>
        <v/>
      </c>
      <c r="O1733" s="4" t="n"/>
      <c r="P1733" s="15">
        <f>IF($A1733="","",DATE(YEAR($A1733),MONTH($A1733),1))</f>
        <v/>
      </c>
      <c r="Q1733" s="16">
        <f>IF($H1733="","",$J1733*IFERROR(INDEX('Settings'!$L$10:$L$39,MATCH($H1733,'Settings'!$I$10:$I$39,0)),0))</f>
        <v/>
      </c>
      <c r="R1733" s="17">
        <f>IF($A1733="","",$A1733-WEEKDAY($A1733,2)+1)</f>
        <v/>
      </c>
    </row>
    <row r="1734">
      <c r="A1734" s="5" t="n"/>
      <c r="B1734" s="4" t="n"/>
      <c r="C1734" s="4" t="n"/>
      <c r="D1734" s="4" t="n"/>
      <c r="E1734" s="4" t="n"/>
      <c r="F1734" s="4" t="n"/>
      <c r="G1734" s="4" t="n"/>
      <c r="H1734" s="4" t="n"/>
      <c r="I1734" s="9">
        <f>IF($H1734="","",IFERROR(INDEX('Settings'!$J$10:$J$39,MATCH($H1734,'Settings'!$I$10:$I$39,0)),""))</f>
        <v/>
      </c>
      <c r="J1734" s="6" t="n"/>
      <c r="K1734" s="8" t="n"/>
      <c r="L1734" s="8" t="n"/>
      <c r="M1734" s="14">
        <f>IF($A1734="","",$J1734*$K1734)</f>
        <v/>
      </c>
      <c r="N1734" s="14">
        <f>IF($A1734="","",$M1734-$L1734)</f>
        <v/>
      </c>
      <c r="O1734" s="4" t="n"/>
      <c r="P1734" s="15">
        <f>IF($A1734="","",DATE(YEAR($A1734),MONTH($A1734),1))</f>
        <v/>
      </c>
      <c r="Q1734" s="16">
        <f>IF($H1734="","",$J1734*IFERROR(INDEX('Settings'!$L$10:$L$39,MATCH($H1734,'Settings'!$I$10:$I$39,0)),0))</f>
        <v/>
      </c>
      <c r="R1734" s="17">
        <f>IF($A1734="","",$A1734-WEEKDAY($A1734,2)+1)</f>
        <v/>
      </c>
    </row>
    <row r="1735">
      <c r="A1735" s="5" t="n"/>
      <c r="B1735" s="4" t="n"/>
      <c r="C1735" s="4" t="n"/>
      <c r="D1735" s="4" t="n"/>
      <c r="E1735" s="4" t="n"/>
      <c r="F1735" s="4" t="n"/>
      <c r="G1735" s="4" t="n"/>
      <c r="H1735" s="4" t="n"/>
      <c r="I1735" s="9">
        <f>IF($H1735="","",IFERROR(INDEX('Settings'!$J$10:$J$39,MATCH($H1735,'Settings'!$I$10:$I$39,0)),""))</f>
        <v/>
      </c>
      <c r="J1735" s="6" t="n"/>
      <c r="K1735" s="8" t="n"/>
      <c r="L1735" s="8" t="n"/>
      <c r="M1735" s="14">
        <f>IF($A1735="","",$J1735*$K1735)</f>
        <v/>
      </c>
      <c r="N1735" s="14">
        <f>IF($A1735="","",$M1735-$L1735)</f>
        <v/>
      </c>
      <c r="O1735" s="4" t="n"/>
      <c r="P1735" s="15">
        <f>IF($A1735="","",DATE(YEAR($A1735),MONTH($A1735),1))</f>
        <v/>
      </c>
      <c r="Q1735" s="16">
        <f>IF($H1735="","",$J1735*IFERROR(INDEX('Settings'!$L$10:$L$39,MATCH($H1735,'Settings'!$I$10:$I$39,0)),0))</f>
        <v/>
      </c>
      <c r="R1735" s="17">
        <f>IF($A1735="","",$A1735-WEEKDAY($A1735,2)+1)</f>
        <v/>
      </c>
    </row>
    <row r="1736">
      <c r="A1736" s="5" t="n"/>
      <c r="B1736" s="4" t="n"/>
      <c r="C1736" s="4" t="n"/>
      <c r="D1736" s="4" t="n"/>
      <c r="E1736" s="4" t="n"/>
      <c r="F1736" s="4" t="n"/>
      <c r="G1736" s="4" t="n"/>
      <c r="H1736" s="4" t="n"/>
      <c r="I1736" s="9">
        <f>IF($H1736="","",IFERROR(INDEX('Settings'!$J$10:$J$39,MATCH($H1736,'Settings'!$I$10:$I$39,0)),""))</f>
        <v/>
      </c>
      <c r="J1736" s="6" t="n"/>
      <c r="K1736" s="8" t="n"/>
      <c r="L1736" s="8" t="n"/>
      <c r="M1736" s="14">
        <f>IF($A1736="","",$J1736*$K1736)</f>
        <v/>
      </c>
      <c r="N1736" s="14">
        <f>IF($A1736="","",$M1736-$L1736)</f>
        <v/>
      </c>
      <c r="O1736" s="4" t="n"/>
      <c r="P1736" s="15">
        <f>IF($A1736="","",DATE(YEAR($A1736),MONTH($A1736),1))</f>
        <v/>
      </c>
      <c r="Q1736" s="16">
        <f>IF($H1736="","",$J1736*IFERROR(INDEX('Settings'!$L$10:$L$39,MATCH($H1736,'Settings'!$I$10:$I$39,0)),0))</f>
        <v/>
      </c>
      <c r="R1736" s="17">
        <f>IF($A1736="","",$A1736-WEEKDAY($A1736,2)+1)</f>
        <v/>
      </c>
    </row>
    <row r="1737">
      <c r="A1737" s="5" t="n"/>
      <c r="B1737" s="4" t="n"/>
      <c r="C1737" s="4" t="n"/>
      <c r="D1737" s="4" t="n"/>
      <c r="E1737" s="4" t="n"/>
      <c r="F1737" s="4" t="n"/>
      <c r="G1737" s="4" t="n"/>
      <c r="H1737" s="4" t="n"/>
      <c r="I1737" s="9">
        <f>IF($H1737="","",IFERROR(INDEX('Settings'!$J$10:$J$39,MATCH($H1737,'Settings'!$I$10:$I$39,0)),""))</f>
        <v/>
      </c>
      <c r="J1737" s="6" t="n"/>
      <c r="K1737" s="8" t="n"/>
      <c r="L1737" s="8" t="n"/>
      <c r="M1737" s="14">
        <f>IF($A1737="","",$J1737*$K1737)</f>
        <v/>
      </c>
      <c r="N1737" s="14">
        <f>IF($A1737="","",$M1737-$L1737)</f>
        <v/>
      </c>
      <c r="O1737" s="4" t="n"/>
      <c r="P1737" s="15">
        <f>IF($A1737="","",DATE(YEAR($A1737),MONTH($A1737),1))</f>
        <v/>
      </c>
      <c r="Q1737" s="16">
        <f>IF($H1737="","",$J1737*IFERROR(INDEX('Settings'!$L$10:$L$39,MATCH($H1737,'Settings'!$I$10:$I$39,0)),0))</f>
        <v/>
      </c>
      <c r="R1737" s="17">
        <f>IF($A1737="","",$A1737-WEEKDAY($A1737,2)+1)</f>
        <v/>
      </c>
    </row>
    <row r="1738">
      <c r="A1738" s="5" t="n"/>
      <c r="B1738" s="4" t="n"/>
      <c r="C1738" s="4" t="n"/>
      <c r="D1738" s="4" t="n"/>
      <c r="E1738" s="4" t="n"/>
      <c r="F1738" s="4" t="n"/>
      <c r="G1738" s="4" t="n"/>
      <c r="H1738" s="4" t="n"/>
      <c r="I1738" s="9">
        <f>IF($H1738="","",IFERROR(INDEX('Settings'!$J$10:$J$39,MATCH($H1738,'Settings'!$I$10:$I$39,0)),""))</f>
        <v/>
      </c>
      <c r="J1738" s="6" t="n"/>
      <c r="K1738" s="8" t="n"/>
      <c r="L1738" s="8" t="n"/>
      <c r="M1738" s="14">
        <f>IF($A1738="","",$J1738*$K1738)</f>
        <v/>
      </c>
      <c r="N1738" s="14">
        <f>IF($A1738="","",$M1738-$L1738)</f>
        <v/>
      </c>
      <c r="O1738" s="4" t="n"/>
      <c r="P1738" s="15">
        <f>IF($A1738="","",DATE(YEAR($A1738),MONTH($A1738),1))</f>
        <v/>
      </c>
      <c r="Q1738" s="16">
        <f>IF($H1738="","",$J1738*IFERROR(INDEX('Settings'!$L$10:$L$39,MATCH($H1738,'Settings'!$I$10:$I$39,0)),0))</f>
        <v/>
      </c>
      <c r="R1738" s="17">
        <f>IF($A1738="","",$A1738-WEEKDAY($A1738,2)+1)</f>
        <v/>
      </c>
    </row>
    <row r="1739">
      <c r="A1739" s="5" t="n"/>
      <c r="B1739" s="4" t="n"/>
      <c r="C1739" s="4" t="n"/>
      <c r="D1739" s="4" t="n"/>
      <c r="E1739" s="4" t="n"/>
      <c r="F1739" s="4" t="n"/>
      <c r="G1739" s="4" t="n"/>
      <c r="H1739" s="4" t="n"/>
      <c r="I1739" s="9">
        <f>IF($H1739="","",IFERROR(INDEX('Settings'!$J$10:$J$39,MATCH($H1739,'Settings'!$I$10:$I$39,0)),""))</f>
        <v/>
      </c>
      <c r="J1739" s="6" t="n"/>
      <c r="K1739" s="8" t="n"/>
      <c r="L1739" s="8" t="n"/>
      <c r="M1739" s="14">
        <f>IF($A1739="","",$J1739*$K1739)</f>
        <v/>
      </c>
      <c r="N1739" s="14">
        <f>IF($A1739="","",$M1739-$L1739)</f>
        <v/>
      </c>
      <c r="O1739" s="4" t="n"/>
      <c r="P1739" s="15">
        <f>IF($A1739="","",DATE(YEAR($A1739),MONTH($A1739),1))</f>
        <v/>
      </c>
      <c r="Q1739" s="16">
        <f>IF($H1739="","",$J1739*IFERROR(INDEX('Settings'!$L$10:$L$39,MATCH($H1739,'Settings'!$I$10:$I$39,0)),0))</f>
        <v/>
      </c>
      <c r="R1739" s="17">
        <f>IF($A1739="","",$A1739-WEEKDAY($A1739,2)+1)</f>
        <v/>
      </c>
    </row>
    <row r="1740">
      <c r="A1740" s="5" t="n"/>
      <c r="B1740" s="4" t="n"/>
      <c r="C1740" s="4" t="n"/>
      <c r="D1740" s="4" t="n"/>
      <c r="E1740" s="4" t="n"/>
      <c r="F1740" s="4" t="n"/>
      <c r="G1740" s="4" t="n"/>
      <c r="H1740" s="4" t="n"/>
      <c r="I1740" s="9">
        <f>IF($H1740="","",IFERROR(INDEX('Settings'!$J$10:$J$39,MATCH($H1740,'Settings'!$I$10:$I$39,0)),""))</f>
        <v/>
      </c>
      <c r="J1740" s="6" t="n"/>
      <c r="K1740" s="8" t="n"/>
      <c r="L1740" s="8" t="n"/>
      <c r="M1740" s="14">
        <f>IF($A1740="","",$J1740*$K1740)</f>
        <v/>
      </c>
      <c r="N1740" s="14">
        <f>IF($A1740="","",$M1740-$L1740)</f>
        <v/>
      </c>
      <c r="O1740" s="4" t="n"/>
      <c r="P1740" s="15">
        <f>IF($A1740="","",DATE(YEAR($A1740),MONTH($A1740),1))</f>
        <v/>
      </c>
      <c r="Q1740" s="16">
        <f>IF($H1740="","",$J1740*IFERROR(INDEX('Settings'!$L$10:$L$39,MATCH($H1740,'Settings'!$I$10:$I$39,0)),0))</f>
        <v/>
      </c>
      <c r="R1740" s="17">
        <f>IF($A1740="","",$A1740-WEEKDAY($A1740,2)+1)</f>
        <v/>
      </c>
    </row>
    <row r="1741">
      <c r="A1741" s="5" t="n"/>
      <c r="B1741" s="4" t="n"/>
      <c r="C1741" s="4" t="n"/>
      <c r="D1741" s="4" t="n"/>
      <c r="E1741" s="4" t="n"/>
      <c r="F1741" s="4" t="n"/>
      <c r="G1741" s="4" t="n"/>
      <c r="H1741" s="4" t="n"/>
      <c r="I1741" s="9">
        <f>IF($H1741="","",IFERROR(INDEX('Settings'!$J$10:$J$39,MATCH($H1741,'Settings'!$I$10:$I$39,0)),""))</f>
        <v/>
      </c>
      <c r="J1741" s="6" t="n"/>
      <c r="K1741" s="8" t="n"/>
      <c r="L1741" s="8" t="n"/>
      <c r="M1741" s="14">
        <f>IF($A1741="","",$J1741*$K1741)</f>
        <v/>
      </c>
      <c r="N1741" s="14">
        <f>IF($A1741="","",$M1741-$L1741)</f>
        <v/>
      </c>
      <c r="O1741" s="4" t="n"/>
      <c r="P1741" s="15">
        <f>IF($A1741="","",DATE(YEAR($A1741),MONTH($A1741),1))</f>
        <v/>
      </c>
      <c r="Q1741" s="16">
        <f>IF($H1741="","",$J1741*IFERROR(INDEX('Settings'!$L$10:$L$39,MATCH($H1741,'Settings'!$I$10:$I$39,0)),0))</f>
        <v/>
      </c>
      <c r="R1741" s="17">
        <f>IF($A1741="","",$A1741-WEEKDAY($A1741,2)+1)</f>
        <v/>
      </c>
    </row>
    <row r="1742">
      <c r="A1742" s="5" t="n"/>
      <c r="B1742" s="4" t="n"/>
      <c r="C1742" s="4" t="n"/>
      <c r="D1742" s="4" t="n"/>
      <c r="E1742" s="4" t="n"/>
      <c r="F1742" s="4" t="n"/>
      <c r="G1742" s="4" t="n"/>
      <c r="H1742" s="4" t="n"/>
      <c r="I1742" s="9">
        <f>IF($H1742="","",IFERROR(INDEX('Settings'!$J$10:$J$39,MATCH($H1742,'Settings'!$I$10:$I$39,0)),""))</f>
        <v/>
      </c>
      <c r="J1742" s="6" t="n"/>
      <c r="K1742" s="8" t="n"/>
      <c r="L1742" s="8" t="n"/>
      <c r="M1742" s="14">
        <f>IF($A1742="","",$J1742*$K1742)</f>
        <v/>
      </c>
      <c r="N1742" s="14">
        <f>IF($A1742="","",$M1742-$L1742)</f>
        <v/>
      </c>
      <c r="O1742" s="4" t="n"/>
      <c r="P1742" s="15">
        <f>IF($A1742="","",DATE(YEAR($A1742),MONTH($A1742),1))</f>
        <v/>
      </c>
      <c r="Q1742" s="16">
        <f>IF($H1742="","",$J1742*IFERROR(INDEX('Settings'!$L$10:$L$39,MATCH($H1742,'Settings'!$I$10:$I$39,0)),0))</f>
        <v/>
      </c>
      <c r="R1742" s="17">
        <f>IF($A1742="","",$A1742-WEEKDAY($A1742,2)+1)</f>
        <v/>
      </c>
    </row>
    <row r="1743">
      <c r="A1743" s="5" t="n"/>
      <c r="B1743" s="4" t="n"/>
      <c r="C1743" s="4" t="n"/>
      <c r="D1743" s="4" t="n"/>
      <c r="E1743" s="4" t="n"/>
      <c r="F1743" s="4" t="n"/>
      <c r="G1743" s="4" t="n"/>
      <c r="H1743" s="4" t="n"/>
      <c r="I1743" s="9">
        <f>IF($H1743="","",IFERROR(INDEX('Settings'!$J$10:$J$39,MATCH($H1743,'Settings'!$I$10:$I$39,0)),""))</f>
        <v/>
      </c>
      <c r="J1743" s="6" t="n"/>
      <c r="K1743" s="8" t="n"/>
      <c r="L1743" s="8" t="n"/>
      <c r="M1743" s="14">
        <f>IF($A1743="","",$J1743*$K1743)</f>
        <v/>
      </c>
      <c r="N1743" s="14">
        <f>IF($A1743="","",$M1743-$L1743)</f>
        <v/>
      </c>
      <c r="O1743" s="4" t="n"/>
      <c r="P1743" s="15">
        <f>IF($A1743="","",DATE(YEAR($A1743),MONTH($A1743),1))</f>
        <v/>
      </c>
      <c r="Q1743" s="16">
        <f>IF($H1743="","",$J1743*IFERROR(INDEX('Settings'!$L$10:$L$39,MATCH($H1743,'Settings'!$I$10:$I$39,0)),0))</f>
        <v/>
      </c>
      <c r="R1743" s="17">
        <f>IF($A1743="","",$A1743-WEEKDAY($A1743,2)+1)</f>
        <v/>
      </c>
    </row>
    <row r="1744">
      <c r="A1744" s="5" t="n"/>
      <c r="B1744" s="4" t="n"/>
      <c r="C1744" s="4" t="n"/>
      <c r="D1744" s="4" t="n"/>
      <c r="E1744" s="4" t="n"/>
      <c r="F1744" s="4" t="n"/>
      <c r="G1744" s="4" t="n"/>
      <c r="H1744" s="4" t="n"/>
      <c r="I1744" s="9">
        <f>IF($H1744="","",IFERROR(INDEX('Settings'!$J$10:$J$39,MATCH($H1744,'Settings'!$I$10:$I$39,0)),""))</f>
        <v/>
      </c>
      <c r="J1744" s="6" t="n"/>
      <c r="K1744" s="8" t="n"/>
      <c r="L1744" s="8" t="n"/>
      <c r="M1744" s="14">
        <f>IF($A1744="","",$J1744*$K1744)</f>
        <v/>
      </c>
      <c r="N1744" s="14">
        <f>IF($A1744="","",$M1744-$L1744)</f>
        <v/>
      </c>
      <c r="O1744" s="4" t="n"/>
      <c r="P1744" s="15">
        <f>IF($A1744="","",DATE(YEAR($A1744),MONTH($A1744),1))</f>
        <v/>
      </c>
      <c r="Q1744" s="16">
        <f>IF($H1744="","",$J1744*IFERROR(INDEX('Settings'!$L$10:$L$39,MATCH($H1744,'Settings'!$I$10:$I$39,0)),0))</f>
        <v/>
      </c>
      <c r="R1744" s="17">
        <f>IF($A1744="","",$A1744-WEEKDAY($A1744,2)+1)</f>
        <v/>
      </c>
    </row>
    <row r="1745">
      <c r="A1745" s="5" t="n"/>
      <c r="B1745" s="4" t="n"/>
      <c r="C1745" s="4" t="n"/>
      <c r="D1745" s="4" t="n"/>
      <c r="E1745" s="4" t="n"/>
      <c r="F1745" s="4" t="n"/>
      <c r="G1745" s="4" t="n"/>
      <c r="H1745" s="4" t="n"/>
      <c r="I1745" s="9">
        <f>IF($H1745="","",IFERROR(INDEX('Settings'!$J$10:$J$39,MATCH($H1745,'Settings'!$I$10:$I$39,0)),""))</f>
        <v/>
      </c>
      <c r="J1745" s="6" t="n"/>
      <c r="K1745" s="8" t="n"/>
      <c r="L1745" s="8" t="n"/>
      <c r="M1745" s="14">
        <f>IF($A1745="","",$J1745*$K1745)</f>
        <v/>
      </c>
      <c r="N1745" s="14">
        <f>IF($A1745="","",$M1745-$L1745)</f>
        <v/>
      </c>
      <c r="O1745" s="4" t="n"/>
      <c r="P1745" s="15">
        <f>IF($A1745="","",DATE(YEAR($A1745),MONTH($A1745),1))</f>
        <v/>
      </c>
      <c r="Q1745" s="16">
        <f>IF($H1745="","",$J1745*IFERROR(INDEX('Settings'!$L$10:$L$39,MATCH($H1745,'Settings'!$I$10:$I$39,0)),0))</f>
        <v/>
      </c>
      <c r="R1745" s="17">
        <f>IF($A1745="","",$A1745-WEEKDAY($A1745,2)+1)</f>
        <v/>
      </c>
    </row>
    <row r="1746">
      <c r="A1746" s="5" t="n"/>
      <c r="B1746" s="4" t="n"/>
      <c r="C1746" s="4" t="n"/>
      <c r="D1746" s="4" t="n"/>
      <c r="E1746" s="4" t="n"/>
      <c r="F1746" s="4" t="n"/>
      <c r="G1746" s="4" t="n"/>
      <c r="H1746" s="4" t="n"/>
      <c r="I1746" s="9">
        <f>IF($H1746="","",IFERROR(INDEX('Settings'!$J$10:$J$39,MATCH($H1746,'Settings'!$I$10:$I$39,0)),""))</f>
        <v/>
      </c>
      <c r="J1746" s="6" t="n"/>
      <c r="K1746" s="8" t="n"/>
      <c r="L1746" s="8" t="n"/>
      <c r="M1746" s="14">
        <f>IF($A1746="","",$J1746*$K1746)</f>
        <v/>
      </c>
      <c r="N1746" s="14">
        <f>IF($A1746="","",$M1746-$L1746)</f>
        <v/>
      </c>
      <c r="O1746" s="4" t="n"/>
      <c r="P1746" s="15">
        <f>IF($A1746="","",DATE(YEAR($A1746),MONTH($A1746),1))</f>
        <v/>
      </c>
      <c r="Q1746" s="16">
        <f>IF($H1746="","",$J1746*IFERROR(INDEX('Settings'!$L$10:$L$39,MATCH($H1746,'Settings'!$I$10:$I$39,0)),0))</f>
        <v/>
      </c>
      <c r="R1746" s="17">
        <f>IF($A1746="","",$A1746-WEEKDAY($A1746,2)+1)</f>
        <v/>
      </c>
    </row>
    <row r="1747">
      <c r="A1747" s="5" t="n"/>
      <c r="B1747" s="4" t="n"/>
      <c r="C1747" s="4" t="n"/>
      <c r="D1747" s="4" t="n"/>
      <c r="E1747" s="4" t="n"/>
      <c r="F1747" s="4" t="n"/>
      <c r="G1747" s="4" t="n"/>
      <c r="H1747" s="4" t="n"/>
      <c r="I1747" s="9">
        <f>IF($H1747="","",IFERROR(INDEX('Settings'!$J$10:$J$39,MATCH($H1747,'Settings'!$I$10:$I$39,0)),""))</f>
        <v/>
      </c>
      <c r="J1747" s="6" t="n"/>
      <c r="K1747" s="8" t="n"/>
      <c r="L1747" s="8" t="n"/>
      <c r="M1747" s="14">
        <f>IF($A1747="","",$J1747*$K1747)</f>
        <v/>
      </c>
      <c r="N1747" s="14">
        <f>IF($A1747="","",$M1747-$L1747)</f>
        <v/>
      </c>
      <c r="O1747" s="4" t="n"/>
      <c r="P1747" s="15">
        <f>IF($A1747="","",DATE(YEAR($A1747),MONTH($A1747),1))</f>
        <v/>
      </c>
      <c r="Q1747" s="16">
        <f>IF($H1747="","",$J1747*IFERROR(INDEX('Settings'!$L$10:$L$39,MATCH($H1747,'Settings'!$I$10:$I$39,0)),0))</f>
        <v/>
      </c>
      <c r="R1747" s="17">
        <f>IF($A1747="","",$A1747-WEEKDAY($A1747,2)+1)</f>
        <v/>
      </c>
    </row>
    <row r="1748">
      <c r="A1748" s="5" t="n"/>
      <c r="B1748" s="4" t="n"/>
      <c r="C1748" s="4" t="n"/>
      <c r="D1748" s="4" t="n"/>
      <c r="E1748" s="4" t="n"/>
      <c r="F1748" s="4" t="n"/>
      <c r="G1748" s="4" t="n"/>
      <c r="H1748" s="4" t="n"/>
      <c r="I1748" s="9">
        <f>IF($H1748="","",IFERROR(INDEX('Settings'!$J$10:$J$39,MATCH($H1748,'Settings'!$I$10:$I$39,0)),""))</f>
        <v/>
      </c>
      <c r="J1748" s="6" t="n"/>
      <c r="K1748" s="8" t="n"/>
      <c r="L1748" s="8" t="n"/>
      <c r="M1748" s="14">
        <f>IF($A1748="","",$J1748*$K1748)</f>
        <v/>
      </c>
      <c r="N1748" s="14">
        <f>IF($A1748="","",$M1748-$L1748)</f>
        <v/>
      </c>
      <c r="O1748" s="4" t="n"/>
      <c r="P1748" s="15">
        <f>IF($A1748="","",DATE(YEAR($A1748),MONTH($A1748),1))</f>
        <v/>
      </c>
      <c r="Q1748" s="16">
        <f>IF($H1748="","",$J1748*IFERROR(INDEX('Settings'!$L$10:$L$39,MATCH($H1748,'Settings'!$I$10:$I$39,0)),0))</f>
        <v/>
      </c>
      <c r="R1748" s="17">
        <f>IF($A1748="","",$A1748-WEEKDAY($A1748,2)+1)</f>
        <v/>
      </c>
    </row>
    <row r="1749">
      <c r="A1749" s="5" t="n"/>
      <c r="B1749" s="4" t="n"/>
      <c r="C1749" s="4" t="n"/>
      <c r="D1749" s="4" t="n"/>
      <c r="E1749" s="4" t="n"/>
      <c r="F1749" s="4" t="n"/>
      <c r="G1749" s="4" t="n"/>
      <c r="H1749" s="4" t="n"/>
      <c r="I1749" s="9">
        <f>IF($H1749="","",IFERROR(INDEX('Settings'!$J$10:$J$39,MATCH($H1749,'Settings'!$I$10:$I$39,0)),""))</f>
        <v/>
      </c>
      <c r="J1749" s="6" t="n"/>
      <c r="K1749" s="8" t="n"/>
      <c r="L1749" s="8" t="n"/>
      <c r="M1749" s="14">
        <f>IF($A1749="","",$J1749*$K1749)</f>
        <v/>
      </c>
      <c r="N1749" s="14">
        <f>IF($A1749="","",$M1749-$L1749)</f>
        <v/>
      </c>
      <c r="O1749" s="4" t="n"/>
      <c r="P1749" s="15">
        <f>IF($A1749="","",DATE(YEAR($A1749),MONTH($A1749),1))</f>
        <v/>
      </c>
      <c r="Q1749" s="16">
        <f>IF($H1749="","",$J1749*IFERROR(INDEX('Settings'!$L$10:$L$39,MATCH($H1749,'Settings'!$I$10:$I$39,0)),0))</f>
        <v/>
      </c>
      <c r="R1749" s="17">
        <f>IF($A1749="","",$A1749-WEEKDAY($A1749,2)+1)</f>
        <v/>
      </c>
    </row>
    <row r="1750">
      <c r="A1750" s="5" t="n"/>
      <c r="B1750" s="4" t="n"/>
      <c r="C1750" s="4" t="n"/>
      <c r="D1750" s="4" t="n"/>
      <c r="E1750" s="4" t="n"/>
      <c r="F1750" s="4" t="n"/>
      <c r="G1750" s="4" t="n"/>
      <c r="H1750" s="4" t="n"/>
      <c r="I1750" s="9">
        <f>IF($H1750="","",IFERROR(INDEX('Settings'!$J$10:$J$39,MATCH($H1750,'Settings'!$I$10:$I$39,0)),""))</f>
        <v/>
      </c>
      <c r="J1750" s="6" t="n"/>
      <c r="K1750" s="8" t="n"/>
      <c r="L1750" s="8" t="n"/>
      <c r="M1750" s="14">
        <f>IF($A1750="","",$J1750*$K1750)</f>
        <v/>
      </c>
      <c r="N1750" s="14">
        <f>IF($A1750="","",$M1750-$L1750)</f>
        <v/>
      </c>
      <c r="O1750" s="4" t="n"/>
      <c r="P1750" s="15">
        <f>IF($A1750="","",DATE(YEAR($A1750),MONTH($A1750),1))</f>
        <v/>
      </c>
      <c r="Q1750" s="16">
        <f>IF($H1750="","",$J1750*IFERROR(INDEX('Settings'!$L$10:$L$39,MATCH($H1750,'Settings'!$I$10:$I$39,0)),0))</f>
        <v/>
      </c>
      <c r="R1750" s="17">
        <f>IF($A1750="","",$A1750-WEEKDAY($A1750,2)+1)</f>
        <v/>
      </c>
    </row>
    <row r="1751">
      <c r="A1751" s="5" t="n"/>
      <c r="B1751" s="4" t="n"/>
      <c r="C1751" s="4" t="n"/>
      <c r="D1751" s="4" t="n"/>
      <c r="E1751" s="4" t="n"/>
      <c r="F1751" s="4" t="n"/>
      <c r="G1751" s="4" t="n"/>
      <c r="H1751" s="4" t="n"/>
      <c r="I1751" s="9">
        <f>IF($H1751="","",IFERROR(INDEX('Settings'!$J$10:$J$39,MATCH($H1751,'Settings'!$I$10:$I$39,0)),""))</f>
        <v/>
      </c>
      <c r="J1751" s="6" t="n"/>
      <c r="K1751" s="8" t="n"/>
      <c r="L1751" s="8" t="n"/>
      <c r="M1751" s="14">
        <f>IF($A1751="","",$J1751*$K1751)</f>
        <v/>
      </c>
      <c r="N1751" s="14">
        <f>IF($A1751="","",$M1751-$L1751)</f>
        <v/>
      </c>
      <c r="O1751" s="4" t="n"/>
      <c r="P1751" s="15">
        <f>IF($A1751="","",DATE(YEAR($A1751),MONTH($A1751),1))</f>
        <v/>
      </c>
      <c r="Q1751" s="16">
        <f>IF($H1751="","",$J1751*IFERROR(INDEX('Settings'!$L$10:$L$39,MATCH($H1751,'Settings'!$I$10:$I$39,0)),0))</f>
        <v/>
      </c>
      <c r="R1751" s="17">
        <f>IF($A1751="","",$A1751-WEEKDAY($A1751,2)+1)</f>
        <v/>
      </c>
    </row>
    <row r="1752">
      <c r="A1752" s="5" t="n"/>
      <c r="B1752" s="4" t="n"/>
      <c r="C1752" s="4" t="n"/>
      <c r="D1752" s="4" t="n"/>
      <c r="E1752" s="4" t="n"/>
      <c r="F1752" s="4" t="n"/>
      <c r="G1752" s="4" t="n"/>
      <c r="H1752" s="4" t="n"/>
      <c r="I1752" s="9">
        <f>IF($H1752="","",IFERROR(INDEX('Settings'!$J$10:$J$39,MATCH($H1752,'Settings'!$I$10:$I$39,0)),""))</f>
        <v/>
      </c>
      <c r="J1752" s="6" t="n"/>
      <c r="K1752" s="8" t="n"/>
      <c r="L1752" s="8" t="n"/>
      <c r="M1752" s="14">
        <f>IF($A1752="","",$J1752*$K1752)</f>
        <v/>
      </c>
      <c r="N1752" s="14">
        <f>IF($A1752="","",$M1752-$L1752)</f>
        <v/>
      </c>
      <c r="O1752" s="4" t="n"/>
      <c r="P1752" s="15">
        <f>IF($A1752="","",DATE(YEAR($A1752),MONTH($A1752),1))</f>
        <v/>
      </c>
      <c r="Q1752" s="16">
        <f>IF($H1752="","",$J1752*IFERROR(INDEX('Settings'!$L$10:$L$39,MATCH($H1752,'Settings'!$I$10:$I$39,0)),0))</f>
        <v/>
      </c>
      <c r="R1752" s="17">
        <f>IF($A1752="","",$A1752-WEEKDAY($A1752,2)+1)</f>
        <v/>
      </c>
    </row>
    <row r="1753">
      <c r="A1753" s="5" t="n"/>
      <c r="B1753" s="4" t="n"/>
      <c r="C1753" s="4" t="n"/>
      <c r="D1753" s="4" t="n"/>
      <c r="E1753" s="4" t="n"/>
      <c r="F1753" s="4" t="n"/>
      <c r="G1753" s="4" t="n"/>
      <c r="H1753" s="4" t="n"/>
      <c r="I1753" s="9">
        <f>IF($H1753="","",IFERROR(INDEX('Settings'!$J$10:$J$39,MATCH($H1753,'Settings'!$I$10:$I$39,0)),""))</f>
        <v/>
      </c>
      <c r="J1753" s="6" t="n"/>
      <c r="K1753" s="8" t="n"/>
      <c r="L1753" s="8" t="n"/>
      <c r="M1753" s="14">
        <f>IF($A1753="","",$J1753*$K1753)</f>
        <v/>
      </c>
      <c r="N1753" s="14">
        <f>IF($A1753="","",$M1753-$L1753)</f>
        <v/>
      </c>
      <c r="O1753" s="4" t="n"/>
      <c r="P1753" s="15">
        <f>IF($A1753="","",DATE(YEAR($A1753),MONTH($A1753),1))</f>
        <v/>
      </c>
      <c r="Q1753" s="16">
        <f>IF($H1753="","",$J1753*IFERROR(INDEX('Settings'!$L$10:$L$39,MATCH($H1753,'Settings'!$I$10:$I$39,0)),0))</f>
        <v/>
      </c>
      <c r="R1753" s="17">
        <f>IF($A1753="","",$A1753-WEEKDAY($A1753,2)+1)</f>
        <v/>
      </c>
    </row>
    <row r="1754">
      <c r="A1754" s="5" t="n"/>
      <c r="B1754" s="4" t="n"/>
      <c r="C1754" s="4" t="n"/>
      <c r="D1754" s="4" t="n"/>
      <c r="E1754" s="4" t="n"/>
      <c r="F1754" s="4" t="n"/>
      <c r="G1754" s="4" t="n"/>
      <c r="H1754" s="4" t="n"/>
      <c r="I1754" s="9">
        <f>IF($H1754="","",IFERROR(INDEX('Settings'!$J$10:$J$39,MATCH($H1754,'Settings'!$I$10:$I$39,0)),""))</f>
        <v/>
      </c>
      <c r="J1754" s="6" t="n"/>
      <c r="K1754" s="8" t="n"/>
      <c r="L1754" s="8" t="n"/>
      <c r="M1754" s="14">
        <f>IF($A1754="","",$J1754*$K1754)</f>
        <v/>
      </c>
      <c r="N1754" s="14">
        <f>IF($A1754="","",$M1754-$L1754)</f>
        <v/>
      </c>
      <c r="O1754" s="4" t="n"/>
      <c r="P1754" s="15">
        <f>IF($A1754="","",DATE(YEAR($A1754),MONTH($A1754),1))</f>
        <v/>
      </c>
      <c r="Q1754" s="16">
        <f>IF($H1754="","",$J1754*IFERROR(INDEX('Settings'!$L$10:$L$39,MATCH($H1754,'Settings'!$I$10:$I$39,0)),0))</f>
        <v/>
      </c>
      <c r="R1754" s="17">
        <f>IF($A1754="","",$A1754-WEEKDAY($A1754,2)+1)</f>
        <v/>
      </c>
    </row>
    <row r="1755">
      <c r="A1755" s="5" t="n"/>
      <c r="B1755" s="4" t="n"/>
      <c r="C1755" s="4" t="n"/>
      <c r="D1755" s="4" t="n"/>
      <c r="E1755" s="4" t="n"/>
      <c r="F1755" s="4" t="n"/>
      <c r="G1755" s="4" t="n"/>
      <c r="H1755" s="4" t="n"/>
      <c r="I1755" s="9">
        <f>IF($H1755="","",IFERROR(INDEX('Settings'!$J$10:$J$39,MATCH($H1755,'Settings'!$I$10:$I$39,0)),""))</f>
        <v/>
      </c>
      <c r="J1755" s="6" t="n"/>
      <c r="K1755" s="8" t="n"/>
      <c r="L1755" s="8" t="n"/>
      <c r="M1755" s="14">
        <f>IF($A1755="","",$J1755*$K1755)</f>
        <v/>
      </c>
      <c r="N1755" s="14">
        <f>IF($A1755="","",$M1755-$L1755)</f>
        <v/>
      </c>
      <c r="O1755" s="4" t="n"/>
      <c r="P1755" s="15">
        <f>IF($A1755="","",DATE(YEAR($A1755),MONTH($A1755),1))</f>
        <v/>
      </c>
      <c r="Q1755" s="16">
        <f>IF($H1755="","",$J1755*IFERROR(INDEX('Settings'!$L$10:$L$39,MATCH($H1755,'Settings'!$I$10:$I$39,0)),0))</f>
        <v/>
      </c>
      <c r="R1755" s="17">
        <f>IF($A1755="","",$A1755-WEEKDAY($A1755,2)+1)</f>
        <v/>
      </c>
    </row>
    <row r="1756">
      <c r="A1756" s="5" t="n"/>
      <c r="B1756" s="4" t="n"/>
      <c r="C1756" s="4" t="n"/>
      <c r="D1756" s="4" t="n"/>
      <c r="E1756" s="4" t="n"/>
      <c r="F1756" s="4" t="n"/>
      <c r="G1756" s="4" t="n"/>
      <c r="H1756" s="4" t="n"/>
      <c r="I1756" s="9">
        <f>IF($H1756="","",IFERROR(INDEX('Settings'!$J$10:$J$39,MATCH($H1756,'Settings'!$I$10:$I$39,0)),""))</f>
        <v/>
      </c>
      <c r="J1756" s="6" t="n"/>
      <c r="K1756" s="8" t="n"/>
      <c r="L1756" s="8" t="n"/>
      <c r="M1756" s="14">
        <f>IF($A1756="","",$J1756*$K1756)</f>
        <v/>
      </c>
      <c r="N1756" s="14">
        <f>IF($A1756="","",$M1756-$L1756)</f>
        <v/>
      </c>
      <c r="O1756" s="4" t="n"/>
      <c r="P1756" s="15">
        <f>IF($A1756="","",DATE(YEAR($A1756),MONTH($A1756),1))</f>
        <v/>
      </c>
      <c r="Q1756" s="16">
        <f>IF($H1756="","",$J1756*IFERROR(INDEX('Settings'!$L$10:$L$39,MATCH($H1756,'Settings'!$I$10:$I$39,0)),0))</f>
        <v/>
      </c>
      <c r="R1756" s="17">
        <f>IF($A1756="","",$A1756-WEEKDAY($A1756,2)+1)</f>
        <v/>
      </c>
    </row>
    <row r="1757">
      <c r="A1757" s="5" t="n"/>
      <c r="B1757" s="4" t="n"/>
      <c r="C1757" s="4" t="n"/>
      <c r="D1757" s="4" t="n"/>
      <c r="E1757" s="4" t="n"/>
      <c r="F1757" s="4" t="n"/>
      <c r="G1757" s="4" t="n"/>
      <c r="H1757" s="4" t="n"/>
      <c r="I1757" s="9">
        <f>IF($H1757="","",IFERROR(INDEX('Settings'!$J$10:$J$39,MATCH($H1757,'Settings'!$I$10:$I$39,0)),""))</f>
        <v/>
      </c>
      <c r="J1757" s="6" t="n"/>
      <c r="K1757" s="8" t="n"/>
      <c r="L1757" s="8" t="n"/>
      <c r="M1757" s="14">
        <f>IF($A1757="","",$J1757*$K1757)</f>
        <v/>
      </c>
      <c r="N1757" s="14">
        <f>IF($A1757="","",$M1757-$L1757)</f>
        <v/>
      </c>
      <c r="O1757" s="4" t="n"/>
      <c r="P1757" s="15">
        <f>IF($A1757="","",DATE(YEAR($A1757),MONTH($A1757),1))</f>
        <v/>
      </c>
      <c r="Q1757" s="16">
        <f>IF($H1757="","",$J1757*IFERROR(INDEX('Settings'!$L$10:$L$39,MATCH($H1757,'Settings'!$I$10:$I$39,0)),0))</f>
        <v/>
      </c>
      <c r="R1757" s="17">
        <f>IF($A1757="","",$A1757-WEEKDAY($A1757,2)+1)</f>
        <v/>
      </c>
    </row>
    <row r="1758">
      <c r="A1758" s="5" t="n"/>
      <c r="B1758" s="4" t="n"/>
      <c r="C1758" s="4" t="n"/>
      <c r="D1758" s="4" t="n"/>
      <c r="E1758" s="4" t="n"/>
      <c r="F1758" s="4" t="n"/>
      <c r="G1758" s="4" t="n"/>
      <c r="H1758" s="4" t="n"/>
      <c r="I1758" s="9">
        <f>IF($H1758="","",IFERROR(INDEX('Settings'!$J$10:$J$39,MATCH($H1758,'Settings'!$I$10:$I$39,0)),""))</f>
        <v/>
      </c>
      <c r="J1758" s="6" t="n"/>
      <c r="K1758" s="8" t="n"/>
      <c r="L1758" s="8" t="n"/>
      <c r="M1758" s="14">
        <f>IF($A1758="","",$J1758*$K1758)</f>
        <v/>
      </c>
      <c r="N1758" s="14">
        <f>IF($A1758="","",$M1758-$L1758)</f>
        <v/>
      </c>
      <c r="O1758" s="4" t="n"/>
      <c r="P1758" s="15">
        <f>IF($A1758="","",DATE(YEAR($A1758),MONTH($A1758),1))</f>
        <v/>
      </c>
      <c r="Q1758" s="16">
        <f>IF($H1758="","",$J1758*IFERROR(INDEX('Settings'!$L$10:$L$39,MATCH($H1758,'Settings'!$I$10:$I$39,0)),0))</f>
        <v/>
      </c>
      <c r="R1758" s="17">
        <f>IF($A1758="","",$A1758-WEEKDAY($A1758,2)+1)</f>
        <v/>
      </c>
    </row>
    <row r="1759">
      <c r="A1759" s="5" t="n"/>
      <c r="B1759" s="4" t="n"/>
      <c r="C1759" s="4" t="n"/>
      <c r="D1759" s="4" t="n"/>
      <c r="E1759" s="4" t="n"/>
      <c r="F1759" s="4" t="n"/>
      <c r="G1759" s="4" t="n"/>
      <c r="H1759" s="4" t="n"/>
      <c r="I1759" s="9">
        <f>IF($H1759="","",IFERROR(INDEX('Settings'!$J$10:$J$39,MATCH($H1759,'Settings'!$I$10:$I$39,0)),""))</f>
        <v/>
      </c>
      <c r="J1759" s="6" t="n"/>
      <c r="K1759" s="8" t="n"/>
      <c r="L1759" s="8" t="n"/>
      <c r="M1759" s="14">
        <f>IF($A1759="","",$J1759*$K1759)</f>
        <v/>
      </c>
      <c r="N1759" s="14">
        <f>IF($A1759="","",$M1759-$L1759)</f>
        <v/>
      </c>
      <c r="O1759" s="4" t="n"/>
      <c r="P1759" s="15">
        <f>IF($A1759="","",DATE(YEAR($A1759),MONTH($A1759),1))</f>
        <v/>
      </c>
      <c r="Q1759" s="16">
        <f>IF($H1759="","",$J1759*IFERROR(INDEX('Settings'!$L$10:$L$39,MATCH($H1759,'Settings'!$I$10:$I$39,0)),0))</f>
        <v/>
      </c>
      <c r="R1759" s="17">
        <f>IF($A1759="","",$A1759-WEEKDAY($A1759,2)+1)</f>
        <v/>
      </c>
    </row>
    <row r="1760">
      <c r="A1760" s="5" t="n"/>
      <c r="B1760" s="4" t="n"/>
      <c r="C1760" s="4" t="n"/>
      <c r="D1760" s="4" t="n"/>
      <c r="E1760" s="4" t="n"/>
      <c r="F1760" s="4" t="n"/>
      <c r="G1760" s="4" t="n"/>
      <c r="H1760" s="4" t="n"/>
      <c r="I1760" s="9">
        <f>IF($H1760="","",IFERROR(INDEX('Settings'!$J$10:$J$39,MATCH($H1760,'Settings'!$I$10:$I$39,0)),""))</f>
        <v/>
      </c>
      <c r="J1760" s="6" t="n"/>
      <c r="K1760" s="8" t="n"/>
      <c r="L1760" s="8" t="n"/>
      <c r="M1760" s="14">
        <f>IF($A1760="","",$J1760*$K1760)</f>
        <v/>
      </c>
      <c r="N1760" s="14">
        <f>IF($A1760="","",$M1760-$L1760)</f>
        <v/>
      </c>
      <c r="O1760" s="4" t="n"/>
      <c r="P1760" s="15">
        <f>IF($A1760="","",DATE(YEAR($A1760),MONTH($A1760),1))</f>
        <v/>
      </c>
      <c r="Q1760" s="16">
        <f>IF($H1760="","",$J1760*IFERROR(INDEX('Settings'!$L$10:$L$39,MATCH($H1760,'Settings'!$I$10:$I$39,0)),0))</f>
        <v/>
      </c>
      <c r="R1760" s="17">
        <f>IF($A1760="","",$A1760-WEEKDAY($A1760,2)+1)</f>
        <v/>
      </c>
    </row>
    <row r="1761">
      <c r="A1761" s="5" t="n"/>
      <c r="B1761" s="4" t="n"/>
      <c r="C1761" s="4" t="n"/>
      <c r="D1761" s="4" t="n"/>
      <c r="E1761" s="4" t="n"/>
      <c r="F1761" s="4" t="n"/>
      <c r="G1761" s="4" t="n"/>
      <c r="H1761" s="4" t="n"/>
      <c r="I1761" s="9">
        <f>IF($H1761="","",IFERROR(INDEX('Settings'!$J$10:$J$39,MATCH($H1761,'Settings'!$I$10:$I$39,0)),""))</f>
        <v/>
      </c>
      <c r="J1761" s="6" t="n"/>
      <c r="K1761" s="8" t="n"/>
      <c r="L1761" s="8" t="n"/>
      <c r="M1761" s="14">
        <f>IF($A1761="","",$J1761*$K1761)</f>
        <v/>
      </c>
      <c r="N1761" s="14">
        <f>IF($A1761="","",$M1761-$L1761)</f>
        <v/>
      </c>
      <c r="O1761" s="4" t="n"/>
      <c r="P1761" s="15">
        <f>IF($A1761="","",DATE(YEAR($A1761),MONTH($A1761),1))</f>
        <v/>
      </c>
      <c r="Q1761" s="16">
        <f>IF($H1761="","",$J1761*IFERROR(INDEX('Settings'!$L$10:$L$39,MATCH($H1761,'Settings'!$I$10:$I$39,0)),0))</f>
        <v/>
      </c>
      <c r="R1761" s="17">
        <f>IF($A1761="","",$A1761-WEEKDAY($A1761,2)+1)</f>
        <v/>
      </c>
    </row>
    <row r="1762">
      <c r="A1762" s="5" t="n"/>
      <c r="B1762" s="4" t="n"/>
      <c r="C1762" s="4" t="n"/>
      <c r="D1762" s="4" t="n"/>
      <c r="E1762" s="4" t="n"/>
      <c r="F1762" s="4" t="n"/>
      <c r="G1762" s="4" t="n"/>
      <c r="H1762" s="4" t="n"/>
      <c r="I1762" s="9">
        <f>IF($H1762="","",IFERROR(INDEX('Settings'!$J$10:$J$39,MATCH($H1762,'Settings'!$I$10:$I$39,0)),""))</f>
        <v/>
      </c>
      <c r="J1762" s="6" t="n"/>
      <c r="K1762" s="8" t="n"/>
      <c r="L1762" s="8" t="n"/>
      <c r="M1762" s="14">
        <f>IF($A1762="","",$J1762*$K1762)</f>
        <v/>
      </c>
      <c r="N1762" s="14">
        <f>IF($A1762="","",$M1762-$L1762)</f>
        <v/>
      </c>
      <c r="O1762" s="4" t="n"/>
      <c r="P1762" s="15">
        <f>IF($A1762="","",DATE(YEAR($A1762),MONTH($A1762),1))</f>
        <v/>
      </c>
      <c r="Q1762" s="16">
        <f>IF($H1762="","",$J1762*IFERROR(INDEX('Settings'!$L$10:$L$39,MATCH($H1762,'Settings'!$I$10:$I$39,0)),0))</f>
        <v/>
      </c>
      <c r="R1762" s="17">
        <f>IF($A1762="","",$A1762-WEEKDAY($A1762,2)+1)</f>
        <v/>
      </c>
    </row>
    <row r="1763">
      <c r="A1763" s="5" t="n"/>
      <c r="B1763" s="4" t="n"/>
      <c r="C1763" s="4" t="n"/>
      <c r="D1763" s="4" t="n"/>
      <c r="E1763" s="4" t="n"/>
      <c r="F1763" s="4" t="n"/>
      <c r="G1763" s="4" t="n"/>
      <c r="H1763" s="4" t="n"/>
      <c r="I1763" s="9">
        <f>IF($H1763="","",IFERROR(INDEX('Settings'!$J$10:$J$39,MATCH($H1763,'Settings'!$I$10:$I$39,0)),""))</f>
        <v/>
      </c>
      <c r="J1763" s="6" t="n"/>
      <c r="K1763" s="8" t="n"/>
      <c r="L1763" s="8" t="n"/>
      <c r="M1763" s="14">
        <f>IF($A1763="","",$J1763*$K1763)</f>
        <v/>
      </c>
      <c r="N1763" s="14">
        <f>IF($A1763="","",$M1763-$L1763)</f>
        <v/>
      </c>
      <c r="O1763" s="4" t="n"/>
      <c r="P1763" s="15">
        <f>IF($A1763="","",DATE(YEAR($A1763),MONTH($A1763),1))</f>
        <v/>
      </c>
      <c r="Q1763" s="16">
        <f>IF($H1763="","",$J1763*IFERROR(INDEX('Settings'!$L$10:$L$39,MATCH($H1763,'Settings'!$I$10:$I$39,0)),0))</f>
        <v/>
      </c>
      <c r="R1763" s="17">
        <f>IF($A1763="","",$A1763-WEEKDAY($A1763,2)+1)</f>
        <v/>
      </c>
    </row>
    <row r="1764">
      <c r="A1764" s="5" t="n"/>
      <c r="B1764" s="4" t="n"/>
      <c r="C1764" s="4" t="n"/>
      <c r="D1764" s="4" t="n"/>
      <c r="E1764" s="4" t="n"/>
      <c r="F1764" s="4" t="n"/>
      <c r="G1764" s="4" t="n"/>
      <c r="H1764" s="4" t="n"/>
      <c r="I1764" s="9">
        <f>IF($H1764="","",IFERROR(INDEX('Settings'!$J$10:$J$39,MATCH($H1764,'Settings'!$I$10:$I$39,0)),""))</f>
        <v/>
      </c>
      <c r="J1764" s="6" t="n"/>
      <c r="K1764" s="8" t="n"/>
      <c r="L1764" s="8" t="n"/>
      <c r="M1764" s="14">
        <f>IF($A1764="","",$J1764*$K1764)</f>
        <v/>
      </c>
      <c r="N1764" s="14">
        <f>IF($A1764="","",$M1764-$L1764)</f>
        <v/>
      </c>
      <c r="O1764" s="4" t="n"/>
      <c r="P1764" s="15">
        <f>IF($A1764="","",DATE(YEAR($A1764),MONTH($A1764),1))</f>
        <v/>
      </c>
      <c r="Q1764" s="16">
        <f>IF($H1764="","",$J1764*IFERROR(INDEX('Settings'!$L$10:$L$39,MATCH($H1764,'Settings'!$I$10:$I$39,0)),0))</f>
        <v/>
      </c>
      <c r="R1764" s="17">
        <f>IF($A1764="","",$A1764-WEEKDAY($A1764,2)+1)</f>
        <v/>
      </c>
    </row>
    <row r="1765">
      <c r="A1765" s="5" t="n"/>
      <c r="B1765" s="4" t="n"/>
      <c r="C1765" s="4" t="n"/>
      <c r="D1765" s="4" t="n"/>
      <c r="E1765" s="4" t="n"/>
      <c r="F1765" s="4" t="n"/>
      <c r="G1765" s="4" t="n"/>
      <c r="H1765" s="4" t="n"/>
      <c r="I1765" s="9">
        <f>IF($H1765="","",IFERROR(INDEX('Settings'!$J$10:$J$39,MATCH($H1765,'Settings'!$I$10:$I$39,0)),""))</f>
        <v/>
      </c>
      <c r="J1765" s="6" t="n"/>
      <c r="K1765" s="8" t="n"/>
      <c r="L1765" s="8" t="n"/>
      <c r="M1765" s="14">
        <f>IF($A1765="","",$J1765*$K1765)</f>
        <v/>
      </c>
      <c r="N1765" s="14">
        <f>IF($A1765="","",$M1765-$L1765)</f>
        <v/>
      </c>
      <c r="O1765" s="4" t="n"/>
      <c r="P1765" s="15">
        <f>IF($A1765="","",DATE(YEAR($A1765),MONTH($A1765),1))</f>
        <v/>
      </c>
      <c r="Q1765" s="16">
        <f>IF($H1765="","",$J1765*IFERROR(INDEX('Settings'!$L$10:$L$39,MATCH($H1765,'Settings'!$I$10:$I$39,0)),0))</f>
        <v/>
      </c>
      <c r="R1765" s="17">
        <f>IF($A1765="","",$A1765-WEEKDAY($A1765,2)+1)</f>
        <v/>
      </c>
    </row>
    <row r="1766">
      <c r="A1766" s="5" t="n"/>
      <c r="B1766" s="4" t="n"/>
      <c r="C1766" s="4" t="n"/>
      <c r="D1766" s="4" t="n"/>
      <c r="E1766" s="4" t="n"/>
      <c r="F1766" s="4" t="n"/>
      <c r="G1766" s="4" t="n"/>
      <c r="H1766" s="4" t="n"/>
      <c r="I1766" s="9">
        <f>IF($H1766="","",IFERROR(INDEX('Settings'!$J$10:$J$39,MATCH($H1766,'Settings'!$I$10:$I$39,0)),""))</f>
        <v/>
      </c>
      <c r="J1766" s="6" t="n"/>
      <c r="K1766" s="8" t="n"/>
      <c r="L1766" s="8" t="n"/>
      <c r="M1766" s="14">
        <f>IF($A1766="","",$J1766*$K1766)</f>
        <v/>
      </c>
      <c r="N1766" s="14">
        <f>IF($A1766="","",$M1766-$L1766)</f>
        <v/>
      </c>
      <c r="O1766" s="4" t="n"/>
      <c r="P1766" s="15">
        <f>IF($A1766="","",DATE(YEAR($A1766),MONTH($A1766),1))</f>
        <v/>
      </c>
      <c r="Q1766" s="16">
        <f>IF($H1766="","",$J1766*IFERROR(INDEX('Settings'!$L$10:$L$39,MATCH($H1766,'Settings'!$I$10:$I$39,0)),0))</f>
        <v/>
      </c>
      <c r="R1766" s="17">
        <f>IF($A1766="","",$A1766-WEEKDAY($A1766,2)+1)</f>
        <v/>
      </c>
    </row>
    <row r="1767">
      <c r="A1767" s="5" t="n"/>
      <c r="B1767" s="4" t="n"/>
      <c r="C1767" s="4" t="n"/>
      <c r="D1767" s="4" t="n"/>
      <c r="E1767" s="4" t="n"/>
      <c r="F1767" s="4" t="n"/>
      <c r="G1767" s="4" t="n"/>
      <c r="H1767" s="4" t="n"/>
      <c r="I1767" s="9">
        <f>IF($H1767="","",IFERROR(INDEX('Settings'!$J$10:$J$39,MATCH($H1767,'Settings'!$I$10:$I$39,0)),""))</f>
        <v/>
      </c>
      <c r="J1767" s="6" t="n"/>
      <c r="K1767" s="8" t="n"/>
      <c r="L1767" s="8" t="n"/>
      <c r="M1767" s="14">
        <f>IF($A1767="","",$J1767*$K1767)</f>
        <v/>
      </c>
      <c r="N1767" s="14">
        <f>IF($A1767="","",$M1767-$L1767)</f>
        <v/>
      </c>
      <c r="O1767" s="4" t="n"/>
      <c r="P1767" s="15">
        <f>IF($A1767="","",DATE(YEAR($A1767),MONTH($A1767),1))</f>
        <v/>
      </c>
      <c r="Q1767" s="16">
        <f>IF($H1767="","",$J1767*IFERROR(INDEX('Settings'!$L$10:$L$39,MATCH($H1767,'Settings'!$I$10:$I$39,0)),0))</f>
        <v/>
      </c>
      <c r="R1767" s="17">
        <f>IF($A1767="","",$A1767-WEEKDAY($A1767,2)+1)</f>
        <v/>
      </c>
    </row>
    <row r="1768">
      <c r="A1768" s="5" t="n"/>
      <c r="B1768" s="4" t="n"/>
      <c r="C1768" s="4" t="n"/>
      <c r="D1768" s="4" t="n"/>
      <c r="E1768" s="4" t="n"/>
      <c r="F1768" s="4" t="n"/>
      <c r="G1768" s="4" t="n"/>
      <c r="H1768" s="4" t="n"/>
      <c r="I1768" s="9">
        <f>IF($H1768="","",IFERROR(INDEX('Settings'!$J$10:$J$39,MATCH($H1768,'Settings'!$I$10:$I$39,0)),""))</f>
        <v/>
      </c>
      <c r="J1768" s="6" t="n"/>
      <c r="K1768" s="8" t="n"/>
      <c r="L1768" s="8" t="n"/>
      <c r="M1768" s="14">
        <f>IF($A1768="","",$J1768*$K1768)</f>
        <v/>
      </c>
      <c r="N1768" s="14">
        <f>IF($A1768="","",$M1768-$L1768)</f>
        <v/>
      </c>
      <c r="O1768" s="4" t="n"/>
      <c r="P1768" s="15">
        <f>IF($A1768="","",DATE(YEAR($A1768),MONTH($A1768),1))</f>
        <v/>
      </c>
      <c r="Q1768" s="16">
        <f>IF($H1768="","",$J1768*IFERROR(INDEX('Settings'!$L$10:$L$39,MATCH($H1768,'Settings'!$I$10:$I$39,0)),0))</f>
        <v/>
      </c>
      <c r="R1768" s="17">
        <f>IF($A1768="","",$A1768-WEEKDAY($A1768,2)+1)</f>
        <v/>
      </c>
    </row>
    <row r="1769">
      <c r="A1769" s="5" t="n"/>
      <c r="B1769" s="4" t="n"/>
      <c r="C1769" s="4" t="n"/>
      <c r="D1769" s="4" t="n"/>
      <c r="E1769" s="4" t="n"/>
      <c r="F1769" s="4" t="n"/>
      <c r="G1769" s="4" t="n"/>
      <c r="H1769" s="4" t="n"/>
      <c r="I1769" s="9">
        <f>IF($H1769="","",IFERROR(INDEX('Settings'!$J$10:$J$39,MATCH($H1769,'Settings'!$I$10:$I$39,0)),""))</f>
        <v/>
      </c>
      <c r="J1769" s="6" t="n"/>
      <c r="K1769" s="8" t="n"/>
      <c r="L1769" s="8" t="n"/>
      <c r="M1769" s="14">
        <f>IF($A1769="","",$J1769*$K1769)</f>
        <v/>
      </c>
      <c r="N1769" s="14">
        <f>IF($A1769="","",$M1769-$L1769)</f>
        <v/>
      </c>
      <c r="O1769" s="4" t="n"/>
      <c r="P1769" s="15">
        <f>IF($A1769="","",DATE(YEAR($A1769),MONTH($A1769),1))</f>
        <v/>
      </c>
      <c r="Q1769" s="16">
        <f>IF($H1769="","",$J1769*IFERROR(INDEX('Settings'!$L$10:$L$39,MATCH($H1769,'Settings'!$I$10:$I$39,0)),0))</f>
        <v/>
      </c>
      <c r="R1769" s="17">
        <f>IF($A1769="","",$A1769-WEEKDAY($A1769,2)+1)</f>
        <v/>
      </c>
    </row>
    <row r="1770">
      <c r="A1770" s="5" t="n"/>
      <c r="B1770" s="4" t="n"/>
      <c r="C1770" s="4" t="n"/>
      <c r="D1770" s="4" t="n"/>
      <c r="E1770" s="4" t="n"/>
      <c r="F1770" s="4" t="n"/>
      <c r="G1770" s="4" t="n"/>
      <c r="H1770" s="4" t="n"/>
      <c r="I1770" s="9">
        <f>IF($H1770="","",IFERROR(INDEX('Settings'!$J$10:$J$39,MATCH($H1770,'Settings'!$I$10:$I$39,0)),""))</f>
        <v/>
      </c>
      <c r="J1770" s="6" t="n"/>
      <c r="K1770" s="8" t="n"/>
      <c r="L1770" s="8" t="n"/>
      <c r="M1770" s="14">
        <f>IF($A1770="","",$J1770*$K1770)</f>
        <v/>
      </c>
      <c r="N1770" s="14">
        <f>IF($A1770="","",$M1770-$L1770)</f>
        <v/>
      </c>
      <c r="O1770" s="4" t="n"/>
      <c r="P1770" s="15">
        <f>IF($A1770="","",DATE(YEAR($A1770),MONTH($A1770),1))</f>
        <v/>
      </c>
      <c r="Q1770" s="16">
        <f>IF($H1770="","",$J1770*IFERROR(INDEX('Settings'!$L$10:$L$39,MATCH($H1770,'Settings'!$I$10:$I$39,0)),0))</f>
        <v/>
      </c>
      <c r="R1770" s="17">
        <f>IF($A1770="","",$A1770-WEEKDAY($A1770,2)+1)</f>
        <v/>
      </c>
    </row>
    <row r="1771">
      <c r="A1771" s="5" t="n"/>
      <c r="B1771" s="4" t="n"/>
      <c r="C1771" s="4" t="n"/>
      <c r="D1771" s="4" t="n"/>
      <c r="E1771" s="4" t="n"/>
      <c r="F1771" s="4" t="n"/>
      <c r="G1771" s="4" t="n"/>
      <c r="H1771" s="4" t="n"/>
      <c r="I1771" s="9">
        <f>IF($H1771="","",IFERROR(INDEX('Settings'!$J$10:$J$39,MATCH($H1771,'Settings'!$I$10:$I$39,0)),""))</f>
        <v/>
      </c>
      <c r="J1771" s="6" t="n"/>
      <c r="K1771" s="8" t="n"/>
      <c r="L1771" s="8" t="n"/>
      <c r="M1771" s="14">
        <f>IF($A1771="","",$J1771*$K1771)</f>
        <v/>
      </c>
      <c r="N1771" s="14">
        <f>IF($A1771="","",$M1771-$L1771)</f>
        <v/>
      </c>
      <c r="O1771" s="4" t="n"/>
      <c r="P1771" s="15">
        <f>IF($A1771="","",DATE(YEAR($A1771),MONTH($A1771),1))</f>
        <v/>
      </c>
      <c r="Q1771" s="16">
        <f>IF($H1771="","",$J1771*IFERROR(INDEX('Settings'!$L$10:$L$39,MATCH($H1771,'Settings'!$I$10:$I$39,0)),0))</f>
        <v/>
      </c>
      <c r="R1771" s="17">
        <f>IF($A1771="","",$A1771-WEEKDAY($A1771,2)+1)</f>
        <v/>
      </c>
    </row>
    <row r="1772">
      <c r="A1772" s="5" t="n"/>
      <c r="B1772" s="4" t="n"/>
      <c r="C1772" s="4" t="n"/>
      <c r="D1772" s="4" t="n"/>
      <c r="E1772" s="4" t="n"/>
      <c r="F1772" s="4" t="n"/>
      <c r="G1772" s="4" t="n"/>
      <c r="H1772" s="4" t="n"/>
      <c r="I1772" s="9">
        <f>IF($H1772="","",IFERROR(INDEX('Settings'!$J$10:$J$39,MATCH($H1772,'Settings'!$I$10:$I$39,0)),""))</f>
        <v/>
      </c>
      <c r="J1772" s="6" t="n"/>
      <c r="K1772" s="8" t="n"/>
      <c r="L1772" s="8" t="n"/>
      <c r="M1772" s="14">
        <f>IF($A1772="","",$J1772*$K1772)</f>
        <v/>
      </c>
      <c r="N1772" s="14">
        <f>IF($A1772="","",$M1772-$L1772)</f>
        <v/>
      </c>
      <c r="O1772" s="4" t="n"/>
      <c r="P1772" s="15">
        <f>IF($A1772="","",DATE(YEAR($A1772),MONTH($A1772),1))</f>
        <v/>
      </c>
      <c r="Q1772" s="16">
        <f>IF($H1772="","",$J1772*IFERROR(INDEX('Settings'!$L$10:$L$39,MATCH($H1772,'Settings'!$I$10:$I$39,0)),0))</f>
        <v/>
      </c>
      <c r="R1772" s="17">
        <f>IF($A1772="","",$A1772-WEEKDAY($A1772,2)+1)</f>
        <v/>
      </c>
    </row>
    <row r="1773">
      <c r="A1773" s="5" t="n"/>
      <c r="B1773" s="4" t="n"/>
      <c r="C1773" s="4" t="n"/>
      <c r="D1773" s="4" t="n"/>
      <c r="E1773" s="4" t="n"/>
      <c r="F1773" s="4" t="n"/>
      <c r="G1773" s="4" t="n"/>
      <c r="H1773" s="4" t="n"/>
      <c r="I1773" s="9">
        <f>IF($H1773="","",IFERROR(INDEX('Settings'!$J$10:$J$39,MATCH($H1773,'Settings'!$I$10:$I$39,0)),""))</f>
        <v/>
      </c>
      <c r="J1773" s="6" t="n"/>
      <c r="K1773" s="8" t="n"/>
      <c r="L1773" s="8" t="n"/>
      <c r="M1773" s="14">
        <f>IF($A1773="","",$J1773*$K1773)</f>
        <v/>
      </c>
      <c r="N1773" s="14">
        <f>IF($A1773="","",$M1773-$L1773)</f>
        <v/>
      </c>
      <c r="O1773" s="4" t="n"/>
      <c r="P1773" s="15">
        <f>IF($A1773="","",DATE(YEAR($A1773),MONTH($A1773),1))</f>
        <v/>
      </c>
      <c r="Q1773" s="16">
        <f>IF($H1773="","",$J1773*IFERROR(INDEX('Settings'!$L$10:$L$39,MATCH($H1773,'Settings'!$I$10:$I$39,0)),0))</f>
        <v/>
      </c>
      <c r="R1773" s="17">
        <f>IF($A1773="","",$A1773-WEEKDAY($A1773,2)+1)</f>
        <v/>
      </c>
    </row>
    <row r="1774">
      <c r="A1774" s="5" t="n"/>
      <c r="B1774" s="4" t="n"/>
      <c r="C1774" s="4" t="n"/>
      <c r="D1774" s="4" t="n"/>
      <c r="E1774" s="4" t="n"/>
      <c r="F1774" s="4" t="n"/>
      <c r="G1774" s="4" t="n"/>
      <c r="H1774" s="4" t="n"/>
      <c r="I1774" s="9">
        <f>IF($H1774="","",IFERROR(INDEX('Settings'!$J$10:$J$39,MATCH($H1774,'Settings'!$I$10:$I$39,0)),""))</f>
        <v/>
      </c>
      <c r="J1774" s="6" t="n"/>
      <c r="K1774" s="8" t="n"/>
      <c r="L1774" s="8" t="n"/>
      <c r="M1774" s="14">
        <f>IF($A1774="","",$J1774*$K1774)</f>
        <v/>
      </c>
      <c r="N1774" s="14">
        <f>IF($A1774="","",$M1774-$L1774)</f>
        <v/>
      </c>
      <c r="O1774" s="4" t="n"/>
      <c r="P1774" s="15">
        <f>IF($A1774="","",DATE(YEAR($A1774),MONTH($A1774),1))</f>
        <v/>
      </c>
      <c r="Q1774" s="16">
        <f>IF($H1774="","",$J1774*IFERROR(INDEX('Settings'!$L$10:$L$39,MATCH($H1774,'Settings'!$I$10:$I$39,0)),0))</f>
        <v/>
      </c>
      <c r="R1774" s="17">
        <f>IF($A1774="","",$A1774-WEEKDAY($A1774,2)+1)</f>
        <v/>
      </c>
    </row>
    <row r="1775">
      <c r="A1775" s="5" t="n"/>
      <c r="B1775" s="4" t="n"/>
      <c r="C1775" s="4" t="n"/>
      <c r="D1775" s="4" t="n"/>
      <c r="E1775" s="4" t="n"/>
      <c r="F1775" s="4" t="n"/>
      <c r="G1775" s="4" t="n"/>
      <c r="H1775" s="4" t="n"/>
      <c r="I1775" s="9">
        <f>IF($H1775="","",IFERROR(INDEX('Settings'!$J$10:$J$39,MATCH($H1775,'Settings'!$I$10:$I$39,0)),""))</f>
        <v/>
      </c>
      <c r="J1775" s="6" t="n"/>
      <c r="K1775" s="8" t="n"/>
      <c r="L1775" s="8" t="n"/>
      <c r="M1775" s="14">
        <f>IF($A1775="","",$J1775*$K1775)</f>
        <v/>
      </c>
      <c r="N1775" s="14">
        <f>IF($A1775="","",$M1775-$L1775)</f>
        <v/>
      </c>
      <c r="O1775" s="4" t="n"/>
      <c r="P1775" s="15">
        <f>IF($A1775="","",DATE(YEAR($A1775),MONTH($A1775),1))</f>
        <v/>
      </c>
      <c r="Q1775" s="16">
        <f>IF($H1775="","",$J1775*IFERROR(INDEX('Settings'!$L$10:$L$39,MATCH($H1775,'Settings'!$I$10:$I$39,0)),0))</f>
        <v/>
      </c>
      <c r="R1775" s="17">
        <f>IF($A1775="","",$A1775-WEEKDAY($A1775,2)+1)</f>
        <v/>
      </c>
    </row>
    <row r="1776">
      <c r="A1776" s="5" t="n"/>
      <c r="B1776" s="4" t="n"/>
      <c r="C1776" s="4" t="n"/>
      <c r="D1776" s="4" t="n"/>
      <c r="E1776" s="4" t="n"/>
      <c r="F1776" s="4" t="n"/>
      <c r="G1776" s="4" t="n"/>
      <c r="H1776" s="4" t="n"/>
      <c r="I1776" s="9">
        <f>IF($H1776="","",IFERROR(INDEX('Settings'!$J$10:$J$39,MATCH($H1776,'Settings'!$I$10:$I$39,0)),""))</f>
        <v/>
      </c>
      <c r="J1776" s="6" t="n"/>
      <c r="K1776" s="8" t="n"/>
      <c r="L1776" s="8" t="n"/>
      <c r="M1776" s="14">
        <f>IF($A1776="","",$J1776*$K1776)</f>
        <v/>
      </c>
      <c r="N1776" s="14">
        <f>IF($A1776="","",$M1776-$L1776)</f>
        <v/>
      </c>
      <c r="O1776" s="4" t="n"/>
      <c r="P1776" s="15">
        <f>IF($A1776="","",DATE(YEAR($A1776),MONTH($A1776),1))</f>
        <v/>
      </c>
      <c r="Q1776" s="16">
        <f>IF($H1776="","",$J1776*IFERROR(INDEX('Settings'!$L$10:$L$39,MATCH($H1776,'Settings'!$I$10:$I$39,0)),0))</f>
        <v/>
      </c>
      <c r="R1776" s="17">
        <f>IF($A1776="","",$A1776-WEEKDAY($A1776,2)+1)</f>
        <v/>
      </c>
    </row>
    <row r="1777">
      <c r="A1777" s="5" t="n"/>
      <c r="B1777" s="4" t="n"/>
      <c r="C1777" s="4" t="n"/>
      <c r="D1777" s="4" t="n"/>
      <c r="E1777" s="4" t="n"/>
      <c r="F1777" s="4" t="n"/>
      <c r="G1777" s="4" t="n"/>
      <c r="H1777" s="4" t="n"/>
      <c r="I1777" s="9">
        <f>IF($H1777="","",IFERROR(INDEX('Settings'!$J$10:$J$39,MATCH($H1777,'Settings'!$I$10:$I$39,0)),""))</f>
        <v/>
      </c>
      <c r="J1777" s="6" t="n"/>
      <c r="K1777" s="8" t="n"/>
      <c r="L1777" s="8" t="n"/>
      <c r="M1777" s="14">
        <f>IF($A1777="","",$J1777*$K1777)</f>
        <v/>
      </c>
      <c r="N1777" s="14">
        <f>IF($A1777="","",$M1777-$L1777)</f>
        <v/>
      </c>
      <c r="O1777" s="4" t="n"/>
      <c r="P1777" s="15">
        <f>IF($A1777="","",DATE(YEAR($A1777),MONTH($A1777),1))</f>
        <v/>
      </c>
      <c r="Q1777" s="16">
        <f>IF($H1777="","",$J1777*IFERROR(INDEX('Settings'!$L$10:$L$39,MATCH($H1777,'Settings'!$I$10:$I$39,0)),0))</f>
        <v/>
      </c>
      <c r="R1777" s="17">
        <f>IF($A1777="","",$A1777-WEEKDAY($A1777,2)+1)</f>
        <v/>
      </c>
    </row>
    <row r="1778">
      <c r="A1778" s="5" t="n"/>
      <c r="B1778" s="4" t="n"/>
      <c r="C1778" s="4" t="n"/>
      <c r="D1778" s="4" t="n"/>
      <c r="E1778" s="4" t="n"/>
      <c r="F1778" s="4" t="n"/>
      <c r="G1778" s="4" t="n"/>
      <c r="H1778" s="4" t="n"/>
      <c r="I1778" s="9">
        <f>IF($H1778="","",IFERROR(INDEX('Settings'!$J$10:$J$39,MATCH($H1778,'Settings'!$I$10:$I$39,0)),""))</f>
        <v/>
      </c>
      <c r="J1778" s="6" t="n"/>
      <c r="K1778" s="8" t="n"/>
      <c r="L1778" s="8" t="n"/>
      <c r="M1778" s="14">
        <f>IF($A1778="","",$J1778*$K1778)</f>
        <v/>
      </c>
      <c r="N1778" s="14">
        <f>IF($A1778="","",$M1778-$L1778)</f>
        <v/>
      </c>
      <c r="O1778" s="4" t="n"/>
      <c r="P1778" s="15">
        <f>IF($A1778="","",DATE(YEAR($A1778),MONTH($A1778),1))</f>
        <v/>
      </c>
      <c r="Q1778" s="16">
        <f>IF($H1778="","",$J1778*IFERROR(INDEX('Settings'!$L$10:$L$39,MATCH($H1778,'Settings'!$I$10:$I$39,0)),0))</f>
        <v/>
      </c>
      <c r="R1778" s="17">
        <f>IF($A1778="","",$A1778-WEEKDAY($A1778,2)+1)</f>
        <v/>
      </c>
    </row>
    <row r="1779">
      <c r="A1779" s="5" t="n"/>
      <c r="B1779" s="4" t="n"/>
      <c r="C1779" s="4" t="n"/>
      <c r="D1779" s="4" t="n"/>
      <c r="E1779" s="4" t="n"/>
      <c r="F1779" s="4" t="n"/>
      <c r="G1779" s="4" t="n"/>
      <c r="H1779" s="4" t="n"/>
      <c r="I1779" s="9">
        <f>IF($H1779="","",IFERROR(INDEX('Settings'!$J$10:$J$39,MATCH($H1779,'Settings'!$I$10:$I$39,0)),""))</f>
        <v/>
      </c>
      <c r="J1779" s="6" t="n"/>
      <c r="K1779" s="8" t="n"/>
      <c r="L1779" s="8" t="n"/>
      <c r="M1779" s="14">
        <f>IF($A1779="","",$J1779*$K1779)</f>
        <v/>
      </c>
      <c r="N1779" s="14">
        <f>IF($A1779="","",$M1779-$L1779)</f>
        <v/>
      </c>
      <c r="O1779" s="4" t="n"/>
      <c r="P1779" s="15">
        <f>IF($A1779="","",DATE(YEAR($A1779),MONTH($A1779),1))</f>
        <v/>
      </c>
      <c r="Q1779" s="16">
        <f>IF($H1779="","",$J1779*IFERROR(INDEX('Settings'!$L$10:$L$39,MATCH($H1779,'Settings'!$I$10:$I$39,0)),0))</f>
        <v/>
      </c>
      <c r="R1779" s="17">
        <f>IF($A1779="","",$A1779-WEEKDAY($A1779,2)+1)</f>
        <v/>
      </c>
    </row>
    <row r="1780">
      <c r="A1780" s="5" t="n"/>
      <c r="B1780" s="4" t="n"/>
      <c r="C1780" s="4" t="n"/>
      <c r="D1780" s="4" t="n"/>
      <c r="E1780" s="4" t="n"/>
      <c r="F1780" s="4" t="n"/>
      <c r="G1780" s="4" t="n"/>
      <c r="H1780" s="4" t="n"/>
      <c r="I1780" s="9">
        <f>IF($H1780="","",IFERROR(INDEX('Settings'!$J$10:$J$39,MATCH($H1780,'Settings'!$I$10:$I$39,0)),""))</f>
        <v/>
      </c>
      <c r="J1780" s="6" t="n"/>
      <c r="K1780" s="8" t="n"/>
      <c r="L1780" s="8" t="n"/>
      <c r="M1780" s="14">
        <f>IF($A1780="","",$J1780*$K1780)</f>
        <v/>
      </c>
      <c r="N1780" s="14">
        <f>IF($A1780="","",$M1780-$L1780)</f>
        <v/>
      </c>
      <c r="O1780" s="4" t="n"/>
      <c r="P1780" s="15">
        <f>IF($A1780="","",DATE(YEAR($A1780),MONTH($A1780),1))</f>
        <v/>
      </c>
      <c r="Q1780" s="16">
        <f>IF($H1780="","",$J1780*IFERROR(INDEX('Settings'!$L$10:$L$39,MATCH($H1780,'Settings'!$I$10:$I$39,0)),0))</f>
        <v/>
      </c>
      <c r="R1780" s="17">
        <f>IF($A1780="","",$A1780-WEEKDAY($A1780,2)+1)</f>
        <v/>
      </c>
    </row>
    <row r="1781">
      <c r="A1781" s="5" t="n"/>
      <c r="B1781" s="4" t="n"/>
      <c r="C1781" s="4" t="n"/>
      <c r="D1781" s="4" t="n"/>
      <c r="E1781" s="4" t="n"/>
      <c r="F1781" s="4" t="n"/>
      <c r="G1781" s="4" t="n"/>
      <c r="H1781" s="4" t="n"/>
      <c r="I1781" s="9">
        <f>IF($H1781="","",IFERROR(INDEX('Settings'!$J$10:$J$39,MATCH($H1781,'Settings'!$I$10:$I$39,0)),""))</f>
        <v/>
      </c>
      <c r="J1781" s="6" t="n"/>
      <c r="K1781" s="8" t="n"/>
      <c r="L1781" s="8" t="n"/>
      <c r="M1781" s="14">
        <f>IF($A1781="","",$J1781*$K1781)</f>
        <v/>
      </c>
      <c r="N1781" s="14">
        <f>IF($A1781="","",$M1781-$L1781)</f>
        <v/>
      </c>
      <c r="O1781" s="4" t="n"/>
      <c r="P1781" s="15">
        <f>IF($A1781="","",DATE(YEAR($A1781),MONTH($A1781),1))</f>
        <v/>
      </c>
      <c r="Q1781" s="16">
        <f>IF($H1781="","",$J1781*IFERROR(INDEX('Settings'!$L$10:$L$39,MATCH($H1781,'Settings'!$I$10:$I$39,0)),0))</f>
        <v/>
      </c>
      <c r="R1781" s="17">
        <f>IF($A1781="","",$A1781-WEEKDAY($A1781,2)+1)</f>
        <v/>
      </c>
    </row>
    <row r="1782">
      <c r="A1782" s="5" t="n"/>
      <c r="B1782" s="4" t="n"/>
      <c r="C1782" s="4" t="n"/>
      <c r="D1782" s="4" t="n"/>
      <c r="E1782" s="4" t="n"/>
      <c r="F1782" s="4" t="n"/>
      <c r="G1782" s="4" t="n"/>
      <c r="H1782" s="4" t="n"/>
      <c r="I1782" s="9">
        <f>IF($H1782="","",IFERROR(INDEX('Settings'!$J$10:$J$39,MATCH($H1782,'Settings'!$I$10:$I$39,0)),""))</f>
        <v/>
      </c>
      <c r="J1782" s="6" t="n"/>
      <c r="K1782" s="8" t="n"/>
      <c r="L1782" s="8" t="n"/>
      <c r="M1782" s="14">
        <f>IF($A1782="","",$J1782*$K1782)</f>
        <v/>
      </c>
      <c r="N1782" s="14">
        <f>IF($A1782="","",$M1782-$L1782)</f>
        <v/>
      </c>
      <c r="O1782" s="4" t="n"/>
      <c r="P1782" s="15">
        <f>IF($A1782="","",DATE(YEAR($A1782),MONTH($A1782),1))</f>
        <v/>
      </c>
      <c r="Q1782" s="16">
        <f>IF($H1782="","",$J1782*IFERROR(INDEX('Settings'!$L$10:$L$39,MATCH($H1782,'Settings'!$I$10:$I$39,0)),0))</f>
        <v/>
      </c>
      <c r="R1782" s="17">
        <f>IF($A1782="","",$A1782-WEEKDAY($A1782,2)+1)</f>
        <v/>
      </c>
    </row>
    <row r="1783">
      <c r="A1783" s="5" t="n"/>
      <c r="B1783" s="4" t="n"/>
      <c r="C1783" s="4" t="n"/>
      <c r="D1783" s="4" t="n"/>
      <c r="E1783" s="4" t="n"/>
      <c r="F1783" s="4" t="n"/>
      <c r="G1783" s="4" t="n"/>
      <c r="H1783" s="4" t="n"/>
      <c r="I1783" s="9">
        <f>IF($H1783="","",IFERROR(INDEX('Settings'!$J$10:$J$39,MATCH($H1783,'Settings'!$I$10:$I$39,0)),""))</f>
        <v/>
      </c>
      <c r="J1783" s="6" t="n"/>
      <c r="K1783" s="8" t="n"/>
      <c r="L1783" s="8" t="n"/>
      <c r="M1783" s="14">
        <f>IF($A1783="","",$J1783*$K1783)</f>
        <v/>
      </c>
      <c r="N1783" s="14">
        <f>IF($A1783="","",$M1783-$L1783)</f>
        <v/>
      </c>
      <c r="O1783" s="4" t="n"/>
      <c r="P1783" s="15">
        <f>IF($A1783="","",DATE(YEAR($A1783),MONTH($A1783),1))</f>
        <v/>
      </c>
      <c r="Q1783" s="16">
        <f>IF($H1783="","",$J1783*IFERROR(INDEX('Settings'!$L$10:$L$39,MATCH($H1783,'Settings'!$I$10:$I$39,0)),0))</f>
        <v/>
      </c>
      <c r="R1783" s="17">
        <f>IF($A1783="","",$A1783-WEEKDAY($A1783,2)+1)</f>
        <v/>
      </c>
    </row>
    <row r="1784">
      <c r="A1784" s="5" t="n"/>
      <c r="B1784" s="4" t="n"/>
      <c r="C1784" s="4" t="n"/>
      <c r="D1784" s="4" t="n"/>
      <c r="E1784" s="4" t="n"/>
      <c r="F1784" s="4" t="n"/>
      <c r="G1784" s="4" t="n"/>
      <c r="H1784" s="4" t="n"/>
      <c r="I1784" s="9">
        <f>IF($H1784="","",IFERROR(INDEX('Settings'!$J$10:$J$39,MATCH($H1784,'Settings'!$I$10:$I$39,0)),""))</f>
        <v/>
      </c>
      <c r="J1784" s="6" t="n"/>
      <c r="K1784" s="8" t="n"/>
      <c r="L1784" s="8" t="n"/>
      <c r="M1784" s="14">
        <f>IF($A1784="","",$J1784*$K1784)</f>
        <v/>
      </c>
      <c r="N1784" s="14">
        <f>IF($A1784="","",$M1784-$L1784)</f>
        <v/>
      </c>
      <c r="O1784" s="4" t="n"/>
      <c r="P1784" s="15">
        <f>IF($A1784="","",DATE(YEAR($A1784),MONTH($A1784),1))</f>
        <v/>
      </c>
      <c r="Q1784" s="16">
        <f>IF($H1784="","",$J1784*IFERROR(INDEX('Settings'!$L$10:$L$39,MATCH($H1784,'Settings'!$I$10:$I$39,0)),0))</f>
        <v/>
      </c>
      <c r="R1784" s="17">
        <f>IF($A1784="","",$A1784-WEEKDAY($A1784,2)+1)</f>
        <v/>
      </c>
    </row>
    <row r="1785">
      <c r="A1785" s="5" t="n"/>
      <c r="B1785" s="4" t="n"/>
      <c r="C1785" s="4" t="n"/>
      <c r="D1785" s="4" t="n"/>
      <c r="E1785" s="4" t="n"/>
      <c r="F1785" s="4" t="n"/>
      <c r="G1785" s="4" t="n"/>
      <c r="H1785" s="4" t="n"/>
      <c r="I1785" s="9">
        <f>IF($H1785="","",IFERROR(INDEX('Settings'!$J$10:$J$39,MATCH($H1785,'Settings'!$I$10:$I$39,0)),""))</f>
        <v/>
      </c>
      <c r="J1785" s="6" t="n"/>
      <c r="K1785" s="8" t="n"/>
      <c r="L1785" s="8" t="n"/>
      <c r="M1785" s="14">
        <f>IF($A1785="","",$J1785*$K1785)</f>
        <v/>
      </c>
      <c r="N1785" s="14">
        <f>IF($A1785="","",$M1785-$L1785)</f>
        <v/>
      </c>
      <c r="O1785" s="4" t="n"/>
      <c r="P1785" s="15">
        <f>IF($A1785="","",DATE(YEAR($A1785),MONTH($A1785),1))</f>
        <v/>
      </c>
      <c r="Q1785" s="16">
        <f>IF($H1785="","",$J1785*IFERROR(INDEX('Settings'!$L$10:$L$39,MATCH($H1785,'Settings'!$I$10:$I$39,0)),0))</f>
        <v/>
      </c>
      <c r="R1785" s="17">
        <f>IF($A1785="","",$A1785-WEEKDAY($A1785,2)+1)</f>
        <v/>
      </c>
    </row>
    <row r="1786">
      <c r="A1786" s="5" t="n"/>
      <c r="B1786" s="4" t="n"/>
      <c r="C1786" s="4" t="n"/>
      <c r="D1786" s="4" t="n"/>
      <c r="E1786" s="4" t="n"/>
      <c r="F1786" s="4" t="n"/>
      <c r="G1786" s="4" t="n"/>
      <c r="H1786" s="4" t="n"/>
      <c r="I1786" s="9">
        <f>IF($H1786="","",IFERROR(INDEX('Settings'!$J$10:$J$39,MATCH($H1786,'Settings'!$I$10:$I$39,0)),""))</f>
        <v/>
      </c>
      <c r="J1786" s="6" t="n"/>
      <c r="K1786" s="8" t="n"/>
      <c r="L1786" s="8" t="n"/>
      <c r="M1786" s="14">
        <f>IF($A1786="","",$J1786*$K1786)</f>
        <v/>
      </c>
      <c r="N1786" s="14">
        <f>IF($A1786="","",$M1786-$L1786)</f>
        <v/>
      </c>
      <c r="O1786" s="4" t="n"/>
      <c r="P1786" s="15">
        <f>IF($A1786="","",DATE(YEAR($A1786),MONTH($A1786),1))</f>
        <v/>
      </c>
      <c r="Q1786" s="16">
        <f>IF($H1786="","",$J1786*IFERROR(INDEX('Settings'!$L$10:$L$39,MATCH($H1786,'Settings'!$I$10:$I$39,0)),0))</f>
        <v/>
      </c>
      <c r="R1786" s="17">
        <f>IF($A1786="","",$A1786-WEEKDAY($A1786,2)+1)</f>
        <v/>
      </c>
    </row>
    <row r="1787">
      <c r="A1787" s="5" t="n"/>
      <c r="B1787" s="4" t="n"/>
      <c r="C1787" s="4" t="n"/>
      <c r="D1787" s="4" t="n"/>
      <c r="E1787" s="4" t="n"/>
      <c r="F1787" s="4" t="n"/>
      <c r="G1787" s="4" t="n"/>
      <c r="H1787" s="4" t="n"/>
      <c r="I1787" s="9">
        <f>IF($H1787="","",IFERROR(INDEX('Settings'!$J$10:$J$39,MATCH($H1787,'Settings'!$I$10:$I$39,0)),""))</f>
        <v/>
      </c>
      <c r="J1787" s="6" t="n"/>
      <c r="K1787" s="8" t="n"/>
      <c r="L1787" s="8" t="n"/>
      <c r="M1787" s="14">
        <f>IF($A1787="","",$J1787*$K1787)</f>
        <v/>
      </c>
      <c r="N1787" s="14">
        <f>IF($A1787="","",$M1787-$L1787)</f>
        <v/>
      </c>
      <c r="O1787" s="4" t="n"/>
      <c r="P1787" s="15">
        <f>IF($A1787="","",DATE(YEAR($A1787),MONTH($A1787),1))</f>
        <v/>
      </c>
      <c r="Q1787" s="16">
        <f>IF($H1787="","",$J1787*IFERROR(INDEX('Settings'!$L$10:$L$39,MATCH($H1787,'Settings'!$I$10:$I$39,0)),0))</f>
        <v/>
      </c>
      <c r="R1787" s="17">
        <f>IF($A1787="","",$A1787-WEEKDAY($A1787,2)+1)</f>
        <v/>
      </c>
    </row>
    <row r="1788">
      <c r="A1788" s="5" t="n"/>
      <c r="B1788" s="4" t="n"/>
      <c r="C1788" s="4" t="n"/>
      <c r="D1788" s="4" t="n"/>
      <c r="E1788" s="4" t="n"/>
      <c r="F1788" s="4" t="n"/>
      <c r="G1788" s="4" t="n"/>
      <c r="H1788" s="4" t="n"/>
      <c r="I1788" s="9">
        <f>IF($H1788="","",IFERROR(INDEX('Settings'!$J$10:$J$39,MATCH($H1788,'Settings'!$I$10:$I$39,0)),""))</f>
        <v/>
      </c>
      <c r="J1788" s="6" t="n"/>
      <c r="K1788" s="8" t="n"/>
      <c r="L1788" s="8" t="n"/>
      <c r="M1788" s="14">
        <f>IF($A1788="","",$J1788*$K1788)</f>
        <v/>
      </c>
      <c r="N1788" s="14">
        <f>IF($A1788="","",$M1788-$L1788)</f>
        <v/>
      </c>
      <c r="O1788" s="4" t="n"/>
      <c r="P1788" s="15">
        <f>IF($A1788="","",DATE(YEAR($A1788),MONTH($A1788),1))</f>
        <v/>
      </c>
      <c r="Q1788" s="16">
        <f>IF($H1788="","",$J1788*IFERROR(INDEX('Settings'!$L$10:$L$39,MATCH($H1788,'Settings'!$I$10:$I$39,0)),0))</f>
        <v/>
      </c>
      <c r="R1788" s="17">
        <f>IF($A1788="","",$A1788-WEEKDAY($A1788,2)+1)</f>
        <v/>
      </c>
    </row>
    <row r="1789">
      <c r="A1789" s="5" t="n"/>
      <c r="B1789" s="4" t="n"/>
      <c r="C1789" s="4" t="n"/>
      <c r="D1789" s="4" t="n"/>
      <c r="E1789" s="4" t="n"/>
      <c r="F1789" s="4" t="n"/>
      <c r="G1789" s="4" t="n"/>
      <c r="H1789" s="4" t="n"/>
      <c r="I1789" s="9">
        <f>IF($H1789="","",IFERROR(INDEX('Settings'!$J$10:$J$39,MATCH($H1789,'Settings'!$I$10:$I$39,0)),""))</f>
        <v/>
      </c>
      <c r="J1789" s="6" t="n"/>
      <c r="K1789" s="8" t="n"/>
      <c r="L1789" s="8" t="n"/>
      <c r="M1789" s="14">
        <f>IF($A1789="","",$J1789*$K1789)</f>
        <v/>
      </c>
      <c r="N1789" s="14">
        <f>IF($A1789="","",$M1789-$L1789)</f>
        <v/>
      </c>
      <c r="O1789" s="4" t="n"/>
      <c r="P1789" s="15">
        <f>IF($A1789="","",DATE(YEAR($A1789),MONTH($A1789),1))</f>
        <v/>
      </c>
      <c r="Q1789" s="16">
        <f>IF($H1789="","",$J1789*IFERROR(INDEX('Settings'!$L$10:$L$39,MATCH($H1789,'Settings'!$I$10:$I$39,0)),0))</f>
        <v/>
      </c>
      <c r="R1789" s="17">
        <f>IF($A1789="","",$A1789-WEEKDAY($A1789,2)+1)</f>
        <v/>
      </c>
    </row>
    <row r="1790">
      <c r="A1790" s="5" t="n"/>
      <c r="B1790" s="4" t="n"/>
      <c r="C1790" s="4" t="n"/>
      <c r="D1790" s="4" t="n"/>
      <c r="E1790" s="4" t="n"/>
      <c r="F1790" s="4" t="n"/>
      <c r="G1790" s="4" t="n"/>
      <c r="H1790" s="4" t="n"/>
      <c r="I1790" s="9">
        <f>IF($H1790="","",IFERROR(INDEX('Settings'!$J$10:$J$39,MATCH($H1790,'Settings'!$I$10:$I$39,0)),""))</f>
        <v/>
      </c>
      <c r="J1790" s="6" t="n"/>
      <c r="K1790" s="8" t="n"/>
      <c r="L1790" s="8" t="n"/>
      <c r="M1790" s="14">
        <f>IF($A1790="","",$J1790*$K1790)</f>
        <v/>
      </c>
      <c r="N1790" s="14">
        <f>IF($A1790="","",$M1790-$L1790)</f>
        <v/>
      </c>
      <c r="O1790" s="4" t="n"/>
      <c r="P1790" s="15">
        <f>IF($A1790="","",DATE(YEAR($A1790),MONTH($A1790),1))</f>
        <v/>
      </c>
      <c r="Q1790" s="16">
        <f>IF($H1790="","",$J1790*IFERROR(INDEX('Settings'!$L$10:$L$39,MATCH($H1790,'Settings'!$I$10:$I$39,0)),0))</f>
        <v/>
      </c>
      <c r="R1790" s="17">
        <f>IF($A1790="","",$A1790-WEEKDAY($A1790,2)+1)</f>
        <v/>
      </c>
    </row>
    <row r="1791">
      <c r="A1791" s="5" t="n"/>
      <c r="B1791" s="4" t="n"/>
      <c r="C1791" s="4" t="n"/>
      <c r="D1791" s="4" t="n"/>
      <c r="E1791" s="4" t="n"/>
      <c r="F1791" s="4" t="n"/>
      <c r="G1791" s="4" t="n"/>
      <c r="H1791" s="4" t="n"/>
      <c r="I1791" s="9">
        <f>IF($H1791="","",IFERROR(INDEX('Settings'!$J$10:$J$39,MATCH($H1791,'Settings'!$I$10:$I$39,0)),""))</f>
        <v/>
      </c>
      <c r="J1791" s="6" t="n"/>
      <c r="K1791" s="8" t="n"/>
      <c r="L1791" s="8" t="n"/>
      <c r="M1791" s="14">
        <f>IF($A1791="","",$J1791*$K1791)</f>
        <v/>
      </c>
      <c r="N1791" s="14">
        <f>IF($A1791="","",$M1791-$L1791)</f>
        <v/>
      </c>
      <c r="O1791" s="4" t="n"/>
      <c r="P1791" s="15">
        <f>IF($A1791="","",DATE(YEAR($A1791),MONTH($A1791),1))</f>
        <v/>
      </c>
      <c r="Q1791" s="16">
        <f>IF($H1791="","",$J1791*IFERROR(INDEX('Settings'!$L$10:$L$39,MATCH($H1791,'Settings'!$I$10:$I$39,0)),0))</f>
        <v/>
      </c>
      <c r="R1791" s="17">
        <f>IF($A1791="","",$A1791-WEEKDAY($A1791,2)+1)</f>
        <v/>
      </c>
    </row>
    <row r="1792">
      <c r="A1792" s="5" t="n"/>
      <c r="B1792" s="4" t="n"/>
      <c r="C1792" s="4" t="n"/>
      <c r="D1792" s="4" t="n"/>
      <c r="E1792" s="4" t="n"/>
      <c r="F1792" s="4" t="n"/>
      <c r="G1792" s="4" t="n"/>
      <c r="H1792" s="4" t="n"/>
      <c r="I1792" s="9">
        <f>IF($H1792="","",IFERROR(INDEX('Settings'!$J$10:$J$39,MATCH($H1792,'Settings'!$I$10:$I$39,0)),""))</f>
        <v/>
      </c>
      <c r="J1792" s="6" t="n"/>
      <c r="K1792" s="8" t="n"/>
      <c r="L1792" s="8" t="n"/>
      <c r="M1792" s="14">
        <f>IF($A1792="","",$J1792*$K1792)</f>
        <v/>
      </c>
      <c r="N1792" s="14">
        <f>IF($A1792="","",$M1792-$L1792)</f>
        <v/>
      </c>
      <c r="O1792" s="4" t="n"/>
      <c r="P1792" s="15">
        <f>IF($A1792="","",DATE(YEAR($A1792),MONTH($A1792),1))</f>
        <v/>
      </c>
      <c r="Q1792" s="16">
        <f>IF($H1792="","",$J1792*IFERROR(INDEX('Settings'!$L$10:$L$39,MATCH($H1792,'Settings'!$I$10:$I$39,0)),0))</f>
        <v/>
      </c>
      <c r="R1792" s="17">
        <f>IF($A1792="","",$A1792-WEEKDAY($A1792,2)+1)</f>
        <v/>
      </c>
    </row>
    <row r="1793">
      <c r="A1793" s="5" t="n"/>
      <c r="B1793" s="4" t="n"/>
      <c r="C1793" s="4" t="n"/>
      <c r="D1793" s="4" t="n"/>
      <c r="E1793" s="4" t="n"/>
      <c r="F1793" s="4" t="n"/>
      <c r="G1793" s="4" t="n"/>
      <c r="H1793" s="4" t="n"/>
      <c r="I1793" s="9">
        <f>IF($H1793="","",IFERROR(INDEX('Settings'!$J$10:$J$39,MATCH($H1793,'Settings'!$I$10:$I$39,0)),""))</f>
        <v/>
      </c>
      <c r="J1793" s="6" t="n"/>
      <c r="K1793" s="8" t="n"/>
      <c r="L1793" s="8" t="n"/>
      <c r="M1793" s="14">
        <f>IF($A1793="","",$J1793*$K1793)</f>
        <v/>
      </c>
      <c r="N1793" s="14">
        <f>IF($A1793="","",$M1793-$L1793)</f>
        <v/>
      </c>
      <c r="O1793" s="4" t="n"/>
      <c r="P1793" s="15">
        <f>IF($A1793="","",DATE(YEAR($A1793),MONTH($A1793),1))</f>
        <v/>
      </c>
      <c r="Q1793" s="16">
        <f>IF($H1793="","",$J1793*IFERROR(INDEX('Settings'!$L$10:$L$39,MATCH($H1793,'Settings'!$I$10:$I$39,0)),0))</f>
        <v/>
      </c>
      <c r="R1793" s="17">
        <f>IF($A1793="","",$A1793-WEEKDAY($A1793,2)+1)</f>
        <v/>
      </c>
    </row>
    <row r="1794">
      <c r="A1794" s="5" t="n"/>
      <c r="B1794" s="4" t="n"/>
      <c r="C1794" s="4" t="n"/>
      <c r="D1794" s="4" t="n"/>
      <c r="E1794" s="4" t="n"/>
      <c r="F1794" s="4" t="n"/>
      <c r="G1794" s="4" t="n"/>
      <c r="H1794" s="4" t="n"/>
      <c r="I1794" s="9">
        <f>IF($H1794="","",IFERROR(INDEX('Settings'!$J$10:$J$39,MATCH($H1794,'Settings'!$I$10:$I$39,0)),""))</f>
        <v/>
      </c>
      <c r="J1794" s="6" t="n"/>
      <c r="K1794" s="8" t="n"/>
      <c r="L1794" s="8" t="n"/>
      <c r="M1794" s="14">
        <f>IF($A1794="","",$J1794*$K1794)</f>
        <v/>
      </c>
      <c r="N1794" s="14">
        <f>IF($A1794="","",$M1794-$L1794)</f>
        <v/>
      </c>
      <c r="O1794" s="4" t="n"/>
      <c r="P1794" s="15">
        <f>IF($A1794="","",DATE(YEAR($A1794),MONTH($A1794),1))</f>
        <v/>
      </c>
      <c r="Q1794" s="16">
        <f>IF($H1794="","",$J1794*IFERROR(INDEX('Settings'!$L$10:$L$39,MATCH($H1794,'Settings'!$I$10:$I$39,0)),0))</f>
        <v/>
      </c>
      <c r="R1794" s="17">
        <f>IF($A1794="","",$A1794-WEEKDAY($A1794,2)+1)</f>
        <v/>
      </c>
    </row>
    <row r="1795">
      <c r="A1795" s="5" t="n"/>
      <c r="B1795" s="4" t="n"/>
      <c r="C1795" s="4" t="n"/>
      <c r="D1795" s="4" t="n"/>
      <c r="E1795" s="4" t="n"/>
      <c r="F1795" s="4" t="n"/>
      <c r="G1795" s="4" t="n"/>
      <c r="H1795" s="4" t="n"/>
      <c r="I1795" s="9">
        <f>IF($H1795="","",IFERROR(INDEX('Settings'!$J$10:$J$39,MATCH($H1795,'Settings'!$I$10:$I$39,0)),""))</f>
        <v/>
      </c>
      <c r="J1795" s="6" t="n"/>
      <c r="K1795" s="8" t="n"/>
      <c r="L1795" s="8" t="n"/>
      <c r="M1795" s="14">
        <f>IF($A1795="","",$J1795*$K1795)</f>
        <v/>
      </c>
      <c r="N1795" s="14">
        <f>IF($A1795="","",$M1795-$L1795)</f>
        <v/>
      </c>
      <c r="O1795" s="4" t="n"/>
      <c r="P1795" s="15">
        <f>IF($A1795="","",DATE(YEAR($A1795),MONTH($A1795),1))</f>
        <v/>
      </c>
      <c r="Q1795" s="16">
        <f>IF($H1795="","",$J1795*IFERROR(INDEX('Settings'!$L$10:$L$39,MATCH($H1795,'Settings'!$I$10:$I$39,0)),0))</f>
        <v/>
      </c>
      <c r="R1795" s="17">
        <f>IF($A1795="","",$A1795-WEEKDAY($A1795,2)+1)</f>
        <v/>
      </c>
    </row>
    <row r="1796">
      <c r="A1796" s="5" t="n"/>
      <c r="B1796" s="4" t="n"/>
      <c r="C1796" s="4" t="n"/>
      <c r="D1796" s="4" t="n"/>
      <c r="E1796" s="4" t="n"/>
      <c r="F1796" s="4" t="n"/>
      <c r="G1796" s="4" t="n"/>
      <c r="H1796" s="4" t="n"/>
      <c r="I1796" s="9">
        <f>IF($H1796="","",IFERROR(INDEX('Settings'!$J$10:$J$39,MATCH($H1796,'Settings'!$I$10:$I$39,0)),""))</f>
        <v/>
      </c>
      <c r="J1796" s="6" t="n"/>
      <c r="K1796" s="8" t="n"/>
      <c r="L1796" s="8" t="n"/>
      <c r="M1796" s="14">
        <f>IF($A1796="","",$J1796*$K1796)</f>
        <v/>
      </c>
      <c r="N1796" s="14">
        <f>IF($A1796="","",$M1796-$L1796)</f>
        <v/>
      </c>
      <c r="O1796" s="4" t="n"/>
      <c r="P1796" s="15">
        <f>IF($A1796="","",DATE(YEAR($A1796),MONTH($A1796),1))</f>
        <v/>
      </c>
      <c r="Q1796" s="16">
        <f>IF($H1796="","",$J1796*IFERROR(INDEX('Settings'!$L$10:$L$39,MATCH($H1796,'Settings'!$I$10:$I$39,0)),0))</f>
        <v/>
      </c>
      <c r="R1796" s="17">
        <f>IF($A1796="","",$A1796-WEEKDAY($A1796,2)+1)</f>
        <v/>
      </c>
    </row>
    <row r="1797">
      <c r="A1797" s="5" t="n"/>
      <c r="B1797" s="4" t="n"/>
      <c r="C1797" s="4" t="n"/>
      <c r="D1797" s="4" t="n"/>
      <c r="E1797" s="4" t="n"/>
      <c r="F1797" s="4" t="n"/>
      <c r="G1797" s="4" t="n"/>
      <c r="H1797" s="4" t="n"/>
      <c r="I1797" s="9">
        <f>IF($H1797="","",IFERROR(INDEX('Settings'!$J$10:$J$39,MATCH($H1797,'Settings'!$I$10:$I$39,0)),""))</f>
        <v/>
      </c>
      <c r="J1797" s="6" t="n"/>
      <c r="K1797" s="8" t="n"/>
      <c r="L1797" s="8" t="n"/>
      <c r="M1797" s="14">
        <f>IF($A1797="","",$J1797*$K1797)</f>
        <v/>
      </c>
      <c r="N1797" s="14">
        <f>IF($A1797="","",$M1797-$L1797)</f>
        <v/>
      </c>
      <c r="O1797" s="4" t="n"/>
      <c r="P1797" s="15">
        <f>IF($A1797="","",DATE(YEAR($A1797),MONTH($A1797),1))</f>
        <v/>
      </c>
      <c r="Q1797" s="16">
        <f>IF($H1797="","",$J1797*IFERROR(INDEX('Settings'!$L$10:$L$39,MATCH($H1797,'Settings'!$I$10:$I$39,0)),0))</f>
        <v/>
      </c>
      <c r="R1797" s="17">
        <f>IF($A1797="","",$A1797-WEEKDAY($A1797,2)+1)</f>
        <v/>
      </c>
    </row>
    <row r="1798">
      <c r="A1798" s="5" t="n"/>
      <c r="B1798" s="4" t="n"/>
      <c r="C1798" s="4" t="n"/>
      <c r="D1798" s="4" t="n"/>
      <c r="E1798" s="4" t="n"/>
      <c r="F1798" s="4" t="n"/>
      <c r="G1798" s="4" t="n"/>
      <c r="H1798" s="4" t="n"/>
      <c r="I1798" s="9">
        <f>IF($H1798="","",IFERROR(INDEX('Settings'!$J$10:$J$39,MATCH($H1798,'Settings'!$I$10:$I$39,0)),""))</f>
        <v/>
      </c>
      <c r="J1798" s="6" t="n"/>
      <c r="K1798" s="8" t="n"/>
      <c r="L1798" s="8" t="n"/>
      <c r="M1798" s="14">
        <f>IF($A1798="","",$J1798*$K1798)</f>
        <v/>
      </c>
      <c r="N1798" s="14">
        <f>IF($A1798="","",$M1798-$L1798)</f>
        <v/>
      </c>
      <c r="O1798" s="4" t="n"/>
      <c r="P1798" s="15">
        <f>IF($A1798="","",DATE(YEAR($A1798),MONTH($A1798),1))</f>
        <v/>
      </c>
      <c r="Q1798" s="16">
        <f>IF($H1798="","",$J1798*IFERROR(INDEX('Settings'!$L$10:$L$39,MATCH($H1798,'Settings'!$I$10:$I$39,0)),0))</f>
        <v/>
      </c>
      <c r="R1798" s="17">
        <f>IF($A1798="","",$A1798-WEEKDAY($A1798,2)+1)</f>
        <v/>
      </c>
    </row>
    <row r="1799">
      <c r="A1799" s="5" t="n"/>
      <c r="B1799" s="4" t="n"/>
      <c r="C1799" s="4" t="n"/>
      <c r="D1799" s="4" t="n"/>
      <c r="E1799" s="4" t="n"/>
      <c r="F1799" s="4" t="n"/>
      <c r="G1799" s="4" t="n"/>
      <c r="H1799" s="4" t="n"/>
      <c r="I1799" s="9">
        <f>IF($H1799="","",IFERROR(INDEX('Settings'!$J$10:$J$39,MATCH($H1799,'Settings'!$I$10:$I$39,0)),""))</f>
        <v/>
      </c>
      <c r="J1799" s="6" t="n"/>
      <c r="K1799" s="8" t="n"/>
      <c r="L1799" s="8" t="n"/>
      <c r="M1799" s="14">
        <f>IF($A1799="","",$J1799*$K1799)</f>
        <v/>
      </c>
      <c r="N1799" s="14">
        <f>IF($A1799="","",$M1799-$L1799)</f>
        <v/>
      </c>
      <c r="O1799" s="4" t="n"/>
      <c r="P1799" s="15">
        <f>IF($A1799="","",DATE(YEAR($A1799),MONTH($A1799),1))</f>
        <v/>
      </c>
      <c r="Q1799" s="16">
        <f>IF($H1799="","",$J1799*IFERROR(INDEX('Settings'!$L$10:$L$39,MATCH($H1799,'Settings'!$I$10:$I$39,0)),0))</f>
        <v/>
      </c>
      <c r="R1799" s="17">
        <f>IF($A1799="","",$A1799-WEEKDAY($A1799,2)+1)</f>
        <v/>
      </c>
    </row>
    <row r="1800">
      <c r="A1800" s="5" t="n"/>
      <c r="B1800" s="4" t="n"/>
      <c r="C1800" s="4" t="n"/>
      <c r="D1800" s="4" t="n"/>
      <c r="E1800" s="4" t="n"/>
      <c r="F1800" s="4" t="n"/>
      <c r="G1800" s="4" t="n"/>
      <c r="H1800" s="4" t="n"/>
      <c r="I1800" s="9">
        <f>IF($H1800="","",IFERROR(INDEX('Settings'!$J$10:$J$39,MATCH($H1800,'Settings'!$I$10:$I$39,0)),""))</f>
        <v/>
      </c>
      <c r="J1800" s="6" t="n"/>
      <c r="K1800" s="8" t="n"/>
      <c r="L1800" s="8" t="n"/>
      <c r="M1800" s="14">
        <f>IF($A1800="","",$J1800*$K1800)</f>
        <v/>
      </c>
      <c r="N1800" s="14">
        <f>IF($A1800="","",$M1800-$L1800)</f>
        <v/>
      </c>
      <c r="O1800" s="4" t="n"/>
      <c r="P1800" s="15">
        <f>IF($A1800="","",DATE(YEAR($A1800),MONTH($A1800),1))</f>
        <v/>
      </c>
      <c r="Q1800" s="16">
        <f>IF($H1800="","",$J1800*IFERROR(INDEX('Settings'!$L$10:$L$39,MATCH($H1800,'Settings'!$I$10:$I$39,0)),0))</f>
        <v/>
      </c>
      <c r="R1800" s="17">
        <f>IF($A1800="","",$A1800-WEEKDAY($A1800,2)+1)</f>
        <v/>
      </c>
    </row>
    <row r="1801">
      <c r="A1801" s="5" t="n"/>
      <c r="B1801" s="4" t="n"/>
      <c r="C1801" s="4" t="n"/>
      <c r="D1801" s="4" t="n"/>
      <c r="E1801" s="4" t="n"/>
      <c r="F1801" s="4" t="n"/>
      <c r="G1801" s="4" t="n"/>
      <c r="H1801" s="4" t="n"/>
      <c r="I1801" s="9">
        <f>IF($H1801="","",IFERROR(INDEX('Settings'!$J$10:$J$39,MATCH($H1801,'Settings'!$I$10:$I$39,0)),""))</f>
        <v/>
      </c>
      <c r="J1801" s="6" t="n"/>
      <c r="K1801" s="8" t="n"/>
      <c r="L1801" s="8" t="n"/>
      <c r="M1801" s="14">
        <f>IF($A1801="","",$J1801*$K1801)</f>
        <v/>
      </c>
      <c r="N1801" s="14">
        <f>IF($A1801="","",$M1801-$L1801)</f>
        <v/>
      </c>
      <c r="O1801" s="4" t="n"/>
      <c r="P1801" s="15">
        <f>IF($A1801="","",DATE(YEAR($A1801),MONTH($A1801),1))</f>
        <v/>
      </c>
      <c r="Q1801" s="16">
        <f>IF($H1801="","",$J1801*IFERROR(INDEX('Settings'!$L$10:$L$39,MATCH($H1801,'Settings'!$I$10:$I$39,0)),0))</f>
        <v/>
      </c>
      <c r="R1801" s="17">
        <f>IF($A1801="","",$A1801-WEEKDAY($A1801,2)+1)</f>
        <v/>
      </c>
    </row>
    <row r="1802">
      <c r="A1802" s="5" t="n"/>
      <c r="B1802" s="4" t="n"/>
      <c r="C1802" s="4" t="n"/>
      <c r="D1802" s="4" t="n"/>
      <c r="E1802" s="4" t="n"/>
      <c r="F1802" s="4" t="n"/>
      <c r="G1802" s="4" t="n"/>
      <c r="H1802" s="4" t="n"/>
      <c r="I1802" s="9">
        <f>IF($H1802="","",IFERROR(INDEX('Settings'!$J$10:$J$39,MATCH($H1802,'Settings'!$I$10:$I$39,0)),""))</f>
        <v/>
      </c>
      <c r="J1802" s="6" t="n"/>
      <c r="K1802" s="8" t="n"/>
      <c r="L1802" s="8" t="n"/>
      <c r="M1802" s="14">
        <f>IF($A1802="","",$J1802*$K1802)</f>
        <v/>
      </c>
      <c r="N1802" s="14">
        <f>IF($A1802="","",$M1802-$L1802)</f>
        <v/>
      </c>
      <c r="O1802" s="4" t="n"/>
      <c r="P1802" s="15">
        <f>IF($A1802="","",DATE(YEAR($A1802),MONTH($A1802),1))</f>
        <v/>
      </c>
      <c r="Q1802" s="16">
        <f>IF($H1802="","",$J1802*IFERROR(INDEX('Settings'!$L$10:$L$39,MATCH($H1802,'Settings'!$I$10:$I$39,0)),0))</f>
        <v/>
      </c>
      <c r="R1802" s="17">
        <f>IF($A1802="","",$A1802-WEEKDAY($A1802,2)+1)</f>
        <v/>
      </c>
    </row>
    <row r="1803">
      <c r="A1803" s="5" t="n"/>
      <c r="B1803" s="4" t="n"/>
      <c r="C1803" s="4" t="n"/>
      <c r="D1803" s="4" t="n"/>
      <c r="E1803" s="4" t="n"/>
      <c r="F1803" s="4" t="n"/>
      <c r="G1803" s="4" t="n"/>
      <c r="H1803" s="4" t="n"/>
      <c r="I1803" s="9">
        <f>IF($H1803="","",IFERROR(INDEX('Settings'!$J$10:$J$39,MATCH($H1803,'Settings'!$I$10:$I$39,0)),""))</f>
        <v/>
      </c>
      <c r="J1803" s="6" t="n"/>
      <c r="K1803" s="8" t="n"/>
      <c r="L1803" s="8" t="n"/>
      <c r="M1803" s="14">
        <f>IF($A1803="","",$J1803*$K1803)</f>
        <v/>
      </c>
      <c r="N1803" s="14">
        <f>IF($A1803="","",$M1803-$L1803)</f>
        <v/>
      </c>
      <c r="O1803" s="4" t="n"/>
      <c r="P1803" s="15">
        <f>IF($A1803="","",DATE(YEAR($A1803),MONTH($A1803),1))</f>
        <v/>
      </c>
      <c r="Q1803" s="16">
        <f>IF($H1803="","",$J1803*IFERROR(INDEX('Settings'!$L$10:$L$39,MATCH($H1803,'Settings'!$I$10:$I$39,0)),0))</f>
        <v/>
      </c>
      <c r="R1803" s="17">
        <f>IF($A1803="","",$A1803-WEEKDAY($A1803,2)+1)</f>
        <v/>
      </c>
    </row>
    <row r="1804">
      <c r="A1804" s="5" t="n"/>
      <c r="B1804" s="4" t="n"/>
      <c r="C1804" s="4" t="n"/>
      <c r="D1804" s="4" t="n"/>
      <c r="E1804" s="4" t="n"/>
      <c r="F1804" s="4" t="n"/>
      <c r="G1804" s="4" t="n"/>
      <c r="H1804" s="4" t="n"/>
      <c r="I1804" s="9">
        <f>IF($H1804="","",IFERROR(INDEX('Settings'!$J$10:$J$39,MATCH($H1804,'Settings'!$I$10:$I$39,0)),""))</f>
        <v/>
      </c>
      <c r="J1804" s="6" t="n"/>
      <c r="K1804" s="8" t="n"/>
      <c r="L1804" s="8" t="n"/>
      <c r="M1804" s="14">
        <f>IF($A1804="","",$J1804*$K1804)</f>
        <v/>
      </c>
      <c r="N1804" s="14">
        <f>IF($A1804="","",$M1804-$L1804)</f>
        <v/>
      </c>
      <c r="O1804" s="4" t="n"/>
      <c r="P1804" s="15">
        <f>IF($A1804="","",DATE(YEAR($A1804),MONTH($A1804),1))</f>
        <v/>
      </c>
      <c r="Q1804" s="16">
        <f>IF($H1804="","",$J1804*IFERROR(INDEX('Settings'!$L$10:$L$39,MATCH($H1804,'Settings'!$I$10:$I$39,0)),0))</f>
        <v/>
      </c>
      <c r="R1804" s="17">
        <f>IF($A1804="","",$A1804-WEEKDAY($A1804,2)+1)</f>
        <v/>
      </c>
    </row>
    <row r="1805">
      <c r="A1805" s="5" t="n"/>
      <c r="B1805" s="4" t="n"/>
      <c r="C1805" s="4" t="n"/>
      <c r="D1805" s="4" t="n"/>
      <c r="E1805" s="4" t="n"/>
      <c r="F1805" s="4" t="n"/>
      <c r="G1805" s="4" t="n"/>
      <c r="H1805" s="4" t="n"/>
      <c r="I1805" s="9">
        <f>IF($H1805="","",IFERROR(INDEX('Settings'!$J$10:$J$39,MATCH($H1805,'Settings'!$I$10:$I$39,0)),""))</f>
        <v/>
      </c>
      <c r="J1805" s="6" t="n"/>
      <c r="K1805" s="8" t="n"/>
      <c r="L1805" s="8" t="n"/>
      <c r="M1805" s="14">
        <f>IF($A1805="","",$J1805*$K1805)</f>
        <v/>
      </c>
      <c r="N1805" s="14">
        <f>IF($A1805="","",$M1805-$L1805)</f>
        <v/>
      </c>
      <c r="O1805" s="4" t="n"/>
      <c r="P1805" s="15">
        <f>IF($A1805="","",DATE(YEAR($A1805),MONTH($A1805),1))</f>
        <v/>
      </c>
      <c r="Q1805" s="16">
        <f>IF($H1805="","",$J1805*IFERROR(INDEX('Settings'!$L$10:$L$39,MATCH($H1805,'Settings'!$I$10:$I$39,0)),0))</f>
        <v/>
      </c>
      <c r="R1805" s="17">
        <f>IF($A1805="","",$A1805-WEEKDAY($A1805,2)+1)</f>
        <v/>
      </c>
    </row>
    <row r="1806">
      <c r="A1806" s="5" t="n"/>
      <c r="B1806" s="4" t="n"/>
      <c r="C1806" s="4" t="n"/>
      <c r="D1806" s="4" t="n"/>
      <c r="E1806" s="4" t="n"/>
      <c r="F1806" s="4" t="n"/>
      <c r="G1806" s="4" t="n"/>
      <c r="H1806" s="4" t="n"/>
      <c r="I1806" s="9">
        <f>IF($H1806="","",IFERROR(INDEX('Settings'!$J$10:$J$39,MATCH($H1806,'Settings'!$I$10:$I$39,0)),""))</f>
        <v/>
      </c>
      <c r="J1806" s="6" t="n"/>
      <c r="K1806" s="8" t="n"/>
      <c r="L1806" s="8" t="n"/>
      <c r="M1806" s="14">
        <f>IF($A1806="","",$J1806*$K1806)</f>
        <v/>
      </c>
      <c r="N1806" s="14">
        <f>IF($A1806="","",$M1806-$L1806)</f>
        <v/>
      </c>
      <c r="O1806" s="4" t="n"/>
      <c r="P1806" s="15">
        <f>IF($A1806="","",DATE(YEAR($A1806),MONTH($A1806),1))</f>
        <v/>
      </c>
      <c r="Q1806" s="16">
        <f>IF($H1806="","",$J1806*IFERROR(INDEX('Settings'!$L$10:$L$39,MATCH($H1806,'Settings'!$I$10:$I$39,0)),0))</f>
        <v/>
      </c>
      <c r="R1806" s="17">
        <f>IF($A1806="","",$A1806-WEEKDAY($A1806,2)+1)</f>
        <v/>
      </c>
    </row>
    <row r="1807">
      <c r="A1807" s="5" t="n"/>
      <c r="B1807" s="4" t="n"/>
      <c r="C1807" s="4" t="n"/>
      <c r="D1807" s="4" t="n"/>
      <c r="E1807" s="4" t="n"/>
      <c r="F1807" s="4" t="n"/>
      <c r="G1807" s="4" t="n"/>
      <c r="H1807" s="4" t="n"/>
      <c r="I1807" s="9">
        <f>IF($H1807="","",IFERROR(INDEX('Settings'!$J$10:$J$39,MATCH($H1807,'Settings'!$I$10:$I$39,0)),""))</f>
        <v/>
      </c>
      <c r="J1807" s="6" t="n"/>
      <c r="K1807" s="8" t="n"/>
      <c r="L1807" s="8" t="n"/>
      <c r="M1807" s="14">
        <f>IF($A1807="","",$J1807*$K1807)</f>
        <v/>
      </c>
      <c r="N1807" s="14">
        <f>IF($A1807="","",$M1807-$L1807)</f>
        <v/>
      </c>
      <c r="O1807" s="4" t="n"/>
      <c r="P1807" s="15">
        <f>IF($A1807="","",DATE(YEAR($A1807),MONTH($A1807),1))</f>
        <v/>
      </c>
      <c r="Q1807" s="16">
        <f>IF($H1807="","",$J1807*IFERROR(INDEX('Settings'!$L$10:$L$39,MATCH($H1807,'Settings'!$I$10:$I$39,0)),0))</f>
        <v/>
      </c>
      <c r="R1807" s="17">
        <f>IF($A1807="","",$A1807-WEEKDAY($A1807,2)+1)</f>
        <v/>
      </c>
    </row>
    <row r="1808">
      <c r="A1808" s="5" t="n"/>
      <c r="B1808" s="4" t="n"/>
      <c r="C1808" s="4" t="n"/>
      <c r="D1808" s="4" t="n"/>
      <c r="E1808" s="4" t="n"/>
      <c r="F1808" s="4" t="n"/>
      <c r="G1808" s="4" t="n"/>
      <c r="H1808" s="4" t="n"/>
      <c r="I1808" s="9">
        <f>IF($H1808="","",IFERROR(INDEX('Settings'!$J$10:$J$39,MATCH($H1808,'Settings'!$I$10:$I$39,0)),""))</f>
        <v/>
      </c>
      <c r="J1808" s="6" t="n"/>
      <c r="K1808" s="8" t="n"/>
      <c r="L1808" s="8" t="n"/>
      <c r="M1808" s="14">
        <f>IF($A1808="","",$J1808*$K1808)</f>
        <v/>
      </c>
      <c r="N1808" s="14">
        <f>IF($A1808="","",$M1808-$L1808)</f>
        <v/>
      </c>
      <c r="O1808" s="4" t="n"/>
      <c r="P1808" s="15">
        <f>IF($A1808="","",DATE(YEAR($A1808),MONTH($A1808),1))</f>
        <v/>
      </c>
      <c r="Q1808" s="16">
        <f>IF($H1808="","",$J1808*IFERROR(INDEX('Settings'!$L$10:$L$39,MATCH($H1808,'Settings'!$I$10:$I$39,0)),0))</f>
        <v/>
      </c>
      <c r="R1808" s="17">
        <f>IF($A1808="","",$A1808-WEEKDAY($A1808,2)+1)</f>
        <v/>
      </c>
    </row>
    <row r="1809">
      <c r="A1809" s="5" t="n"/>
      <c r="B1809" s="4" t="n"/>
      <c r="C1809" s="4" t="n"/>
      <c r="D1809" s="4" t="n"/>
      <c r="E1809" s="4" t="n"/>
      <c r="F1809" s="4" t="n"/>
      <c r="G1809" s="4" t="n"/>
      <c r="H1809" s="4" t="n"/>
      <c r="I1809" s="9">
        <f>IF($H1809="","",IFERROR(INDEX('Settings'!$J$10:$J$39,MATCH($H1809,'Settings'!$I$10:$I$39,0)),""))</f>
        <v/>
      </c>
      <c r="J1809" s="6" t="n"/>
      <c r="K1809" s="8" t="n"/>
      <c r="L1809" s="8" t="n"/>
      <c r="M1809" s="14">
        <f>IF($A1809="","",$J1809*$K1809)</f>
        <v/>
      </c>
      <c r="N1809" s="14">
        <f>IF($A1809="","",$M1809-$L1809)</f>
        <v/>
      </c>
      <c r="O1809" s="4" t="n"/>
      <c r="P1809" s="15">
        <f>IF($A1809="","",DATE(YEAR($A1809),MONTH($A1809),1))</f>
        <v/>
      </c>
      <c r="Q1809" s="16">
        <f>IF($H1809="","",$J1809*IFERROR(INDEX('Settings'!$L$10:$L$39,MATCH($H1809,'Settings'!$I$10:$I$39,0)),0))</f>
        <v/>
      </c>
      <c r="R1809" s="17">
        <f>IF($A1809="","",$A1809-WEEKDAY($A1809,2)+1)</f>
        <v/>
      </c>
    </row>
    <row r="1810">
      <c r="A1810" s="5" t="n"/>
      <c r="B1810" s="4" t="n"/>
      <c r="C1810" s="4" t="n"/>
      <c r="D1810" s="4" t="n"/>
      <c r="E1810" s="4" t="n"/>
      <c r="F1810" s="4" t="n"/>
      <c r="G1810" s="4" t="n"/>
      <c r="H1810" s="4" t="n"/>
      <c r="I1810" s="9">
        <f>IF($H1810="","",IFERROR(INDEX('Settings'!$J$10:$J$39,MATCH($H1810,'Settings'!$I$10:$I$39,0)),""))</f>
        <v/>
      </c>
      <c r="J1810" s="6" t="n"/>
      <c r="K1810" s="8" t="n"/>
      <c r="L1810" s="8" t="n"/>
      <c r="M1810" s="14">
        <f>IF($A1810="","",$J1810*$K1810)</f>
        <v/>
      </c>
      <c r="N1810" s="14">
        <f>IF($A1810="","",$M1810-$L1810)</f>
        <v/>
      </c>
      <c r="O1810" s="4" t="n"/>
      <c r="P1810" s="15">
        <f>IF($A1810="","",DATE(YEAR($A1810),MONTH($A1810),1))</f>
        <v/>
      </c>
      <c r="Q1810" s="16">
        <f>IF($H1810="","",$J1810*IFERROR(INDEX('Settings'!$L$10:$L$39,MATCH($H1810,'Settings'!$I$10:$I$39,0)),0))</f>
        <v/>
      </c>
      <c r="R1810" s="17">
        <f>IF($A1810="","",$A1810-WEEKDAY($A1810,2)+1)</f>
        <v/>
      </c>
    </row>
    <row r="1811">
      <c r="A1811" s="5" t="n"/>
      <c r="B1811" s="4" t="n"/>
      <c r="C1811" s="4" t="n"/>
      <c r="D1811" s="4" t="n"/>
      <c r="E1811" s="4" t="n"/>
      <c r="F1811" s="4" t="n"/>
      <c r="G1811" s="4" t="n"/>
      <c r="H1811" s="4" t="n"/>
      <c r="I1811" s="9">
        <f>IF($H1811="","",IFERROR(INDEX('Settings'!$J$10:$J$39,MATCH($H1811,'Settings'!$I$10:$I$39,0)),""))</f>
        <v/>
      </c>
      <c r="J1811" s="6" t="n"/>
      <c r="K1811" s="8" t="n"/>
      <c r="L1811" s="8" t="n"/>
      <c r="M1811" s="14">
        <f>IF($A1811="","",$J1811*$K1811)</f>
        <v/>
      </c>
      <c r="N1811" s="14">
        <f>IF($A1811="","",$M1811-$L1811)</f>
        <v/>
      </c>
      <c r="O1811" s="4" t="n"/>
      <c r="P1811" s="15">
        <f>IF($A1811="","",DATE(YEAR($A1811),MONTH($A1811),1))</f>
        <v/>
      </c>
      <c r="Q1811" s="16">
        <f>IF($H1811="","",$J1811*IFERROR(INDEX('Settings'!$L$10:$L$39,MATCH($H1811,'Settings'!$I$10:$I$39,0)),0))</f>
        <v/>
      </c>
      <c r="R1811" s="17">
        <f>IF($A1811="","",$A1811-WEEKDAY($A1811,2)+1)</f>
        <v/>
      </c>
    </row>
    <row r="1812">
      <c r="A1812" s="5" t="n"/>
      <c r="B1812" s="4" t="n"/>
      <c r="C1812" s="4" t="n"/>
      <c r="D1812" s="4" t="n"/>
      <c r="E1812" s="4" t="n"/>
      <c r="F1812" s="4" t="n"/>
      <c r="G1812" s="4" t="n"/>
      <c r="H1812" s="4" t="n"/>
      <c r="I1812" s="9">
        <f>IF($H1812="","",IFERROR(INDEX('Settings'!$J$10:$J$39,MATCH($H1812,'Settings'!$I$10:$I$39,0)),""))</f>
        <v/>
      </c>
      <c r="J1812" s="6" t="n"/>
      <c r="K1812" s="8" t="n"/>
      <c r="L1812" s="8" t="n"/>
      <c r="M1812" s="14">
        <f>IF($A1812="","",$J1812*$K1812)</f>
        <v/>
      </c>
      <c r="N1812" s="14">
        <f>IF($A1812="","",$M1812-$L1812)</f>
        <v/>
      </c>
      <c r="O1812" s="4" t="n"/>
      <c r="P1812" s="15">
        <f>IF($A1812="","",DATE(YEAR($A1812),MONTH($A1812),1))</f>
        <v/>
      </c>
      <c r="Q1812" s="16">
        <f>IF($H1812="","",$J1812*IFERROR(INDEX('Settings'!$L$10:$L$39,MATCH($H1812,'Settings'!$I$10:$I$39,0)),0))</f>
        <v/>
      </c>
      <c r="R1812" s="17">
        <f>IF($A1812="","",$A1812-WEEKDAY($A1812,2)+1)</f>
        <v/>
      </c>
    </row>
    <row r="1813">
      <c r="A1813" s="5" t="n"/>
      <c r="B1813" s="4" t="n"/>
      <c r="C1813" s="4" t="n"/>
      <c r="D1813" s="4" t="n"/>
      <c r="E1813" s="4" t="n"/>
      <c r="F1813" s="4" t="n"/>
      <c r="G1813" s="4" t="n"/>
      <c r="H1813" s="4" t="n"/>
      <c r="I1813" s="9">
        <f>IF($H1813="","",IFERROR(INDEX('Settings'!$J$10:$J$39,MATCH($H1813,'Settings'!$I$10:$I$39,0)),""))</f>
        <v/>
      </c>
      <c r="J1813" s="6" t="n"/>
      <c r="K1813" s="8" t="n"/>
      <c r="L1813" s="8" t="n"/>
      <c r="M1813" s="14">
        <f>IF($A1813="","",$J1813*$K1813)</f>
        <v/>
      </c>
      <c r="N1813" s="14">
        <f>IF($A1813="","",$M1813-$L1813)</f>
        <v/>
      </c>
      <c r="O1813" s="4" t="n"/>
      <c r="P1813" s="15">
        <f>IF($A1813="","",DATE(YEAR($A1813),MONTH($A1813),1))</f>
        <v/>
      </c>
      <c r="Q1813" s="16">
        <f>IF($H1813="","",$J1813*IFERROR(INDEX('Settings'!$L$10:$L$39,MATCH($H1813,'Settings'!$I$10:$I$39,0)),0))</f>
        <v/>
      </c>
      <c r="R1813" s="17">
        <f>IF($A1813="","",$A1813-WEEKDAY($A1813,2)+1)</f>
        <v/>
      </c>
    </row>
    <row r="1814">
      <c r="A1814" s="5" t="n"/>
      <c r="B1814" s="4" t="n"/>
      <c r="C1814" s="4" t="n"/>
      <c r="D1814" s="4" t="n"/>
      <c r="E1814" s="4" t="n"/>
      <c r="F1814" s="4" t="n"/>
      <c r="G1814" s="4" t="n"/>
      <c r="H1814" s="4" t="n"/>
      <c r="I1814" s="9">
        <f>IF($H1814="","",IFERROR(INDEX('Settings'!$J$10:$J$39,MATCH($H1814,'Settings'!$I$10:$I$39,0)),""))</f>
        <v/>
      </c>
      <c r="J1814" s="6" t="n"/>
      <c r="K1814" s="8" t="n"/>
      <c r="L1814" s="8" t="n"/>
      <c r="M1814" s="14">
        <f>IF($A1814="","",$J1814*$K1814)</f>
        <v/>
      </c>
      <c r="N1814" s="14">
        <f>IF($A1814="","",$M1814-$L1814)</f>
        <v/>
      </c>
      <c r="O1814" s="4" t="n"/>
      <c r="P1814" s="15">
        <f>IF($A1814="","",DATE(YEAR($A1814),MONTH($A1814),1))</f>
        <v/>
      </c>
      <c r="Q1814" s="16">
        <f>IF($H1814="","",$J1814*IFERROR(INDEX('Settings'!$L$10:$L$39,MATCH($H1814,'Settings'!$I$10:$I$39,0)),0))</f>
        <v/>
      </c>
      <c r="R1814" s="17">
        <f>IF($A1814="","",$A1814-WEEKDAY($A1814,2)+1)</f>
        <v/>
      </c>
    </row>
    <row r="1815">
      <c r="A1815" s="5" t="n"/>
      <c r="B1815" s="4" t="n"/>
      <c r="C1815" s="4" t="n"/>
      <c r="D1815" s="4" t="n"/>
      <c r="E1815" s="4" t="n"/>
      <c r="F1815" s="4" t="n"/>
      <c r="G1815" s="4" t="n"/>
      <c r="H1815" s="4" t="n"/>
      <c r="I1815" s="9">
        <f>IF($H1815="","",IFERROR(INDEX('Settings'!$J$10:$J$39,MATCH($H1815,'Settings'!$I$10:$I$39,0)),""))</f>
        <v/>
      </c>
      <c r="J1815" s="6" t="n"/>
      <c r="K1815" s="8" t="n"/>
      <c r="L1815" s="8" t="n"/>
      <c r="M1815" s="14">
        <f>IF($A1815="","",$J1815*$K1815)</f>
        <v/>
      </c>
      <c r="N1815" s="14">
        <f>IF($A1815="","",$M1815-$L1815)</f>
        <v/>
      </c>
      <c r="O1815" s="4" t="n"/>
      <c r="P1815" s="15">
        <f>IF($A1815="","",DATE(YEAR($A1815),MONTH($A1815),1))</f>
        <v/>
      </c>
      <c r="Q1815" s="16">
        <f>IF($H1815="","",$J1815*IFERROR(INDEX('Settings'!$L$10:$L$39,MATCH($H1815,'Settings'!$I$10:$I$39,0)),0))</f>
        <v/>
      </c>
      <c r="R1815" s="17">
        <f>IF($A1815="","",$A1815-WEEKDAY($A1815,2)+1)</f>
        <v/>
      </c>
    </row>
    <row r="1816">
      <c r="A1816" s="5" t="n"/>
      <c r="B1816" s="4" t="n"/>
      <c r="C1816" s="4" t="n"/>
      <c r="D1816" s="4" t="n"/>
      <c r="E1816" s="4" t="n"/>
      <c r="F1816" s="4" t="n"/>
      <c r="G1816" s="4" t="n"/>
      <c r="H1816" s="4" t="n"/>
      <c r="I1816" s="9">
        <f>IF($H1816="","",IFERROR(INDEX('Settings'!$J$10:$J$39,MATCH($H1816,'Settings'!$I$10:$I$39,0)),""))</f>
        <v/>
      </c>
      <c r="J1816" s="6" t="n"/>
      <c r="K1816" s="8" t="n"/>
      <c r="L1816" s="8" t="n"/>
      <c r="M1816" s="14">
        <f>IF($A1816="","",$J1816*$K1816)</f>
        <v/>
      </c>
      <c r="N1816" s="14">
        <f>IF($A1816="","",$M1816-$L1816)</f>
        <v/>
      </c>
      <c r="O1816" s="4" t="n"/>
      <c r="P1816" s="15">
        <f>IF($A1816="","",DATE(YEAR($A1816),MONTH($A1816),1))</f>
        <v/>
      </c>
      <c r="Q1816" s="16">
        <f>IF($H1816="","",$J1816*IFERROR(INDEX('Settings'!$L$10:$L$39,MATCH($H1816,'Settings'!$I$10:$I$39,0)),0))</f>
        <v/>
      </c>
      <c r="R1816" s="17">
        <f>IF($A1816="","",$A1816-WEEKDAY($A1816,2)+1)</f>
        <v/>
      </c>
    </row>
    <row r="1817">
      <c r="A1817" s="5" t="n"/>
      <c r="B1817" s="4" t="n"/>
      <c r="C1817" s="4" t="n"/>
      <c r="D1817" s="4" t="n"/>
      <c r="E1817" s="4" t="n"/>
      <c r="F1817" s="4" t="n"/>
      <c r="G1817" s="4" t="n"/>
      <c r="H1817" s="4" t="n"/>
      <c r="I1817" s="9">
        <f>IF($H1817="","",IFERROR(INDEX('Settings'!$J$10:$J$39,MATCH($H1817,'Settings'!$I$10:$I$39,0)),""))</f>
        <v/>
      </c>
      <c r="J1817" s="6" t="n"/>
      <c r="K1817" s="8" t="n"/>
      <c r="L1817" s="8" t="n"/>
      <c r="M1817" s="14">
        <f>IF($A1817="","",$J1817*$K1817)</f>
        <v/>
      </c>
      <c r="N1817" s="14">
        <f>IF($A1817="","",$M1817-$L1817)</f>
        <v/>
      </c>
      <c r="O1817" s="4" t="n"/>
      <c r="P1817" s="15">
        <f>IF($A1817="","",DATE(YEAR($A1817),MONTH($A1817),1))</f>
        <v/>
      </c>
      <c r="Q1817" s="16">
        <f>IF($H1817="","",$J1817*IFERROR(INDEX('Settings'!$L$10:$L$39,MATCH($H1817,'Settings'!$I$10:$I$39,0)),0))</f>
        <v/>
      </c>
      <c r="R1817" s="17">
        <f>IF($A1817="","",$A1817-WEEKDAY($A1817,2)+1)</f>
        <v/>
      </c>
    </row>
    <row r="1818">
      <c r="A1818" s="5" t="n"/>
      <c r="B1818" s="4" t="n"/>
      <c r="C1818" s="4" t="n"/>
      <c r="D1818" s="4" t="n"/>
      <c r="E1818" s="4" t="n"/>
      <c r="F1818" s="4" t="n"/>
      <c r="G1818" s="4" t="n"/>
      <c r="H1818" s="4" t="n"/>
      <c r="I1818" s="9">
        <f>IF($H1818="","",IFERROR(INDEX('Settings'!$J$10:$J$39,MATCH($H1818,'Settings'!$I$10:$I$39,0)),""))</f>
        <v/>
      </c>
      <c r="J1818" s="6" t="n"/>
      <c r="K1818" s="8" t="n"/>
      <c r="L1818" s="8" t="n"/>
      <c r="M1818" s="14">
        <f>IF($A1818="","",$J1818*$K1818)</f>
        <v/>
      </c>
      <c r="N1818" s="14">
        <f>IF($A1818="","",$M1818-$L1818)</f>
        <v/>
      </c>
      <c r="O1818" s="4" t="n"/>
      <c r="P1818" s="15">
        <f>IF($A1818="","",DATE(YEAR($A1818),MONTH($A1818),1))</f>
        <v/>
      </c>
      <c r="Q1818" s="16">
        <f>IF($H1818="","",$J1818*IFERROR(INDEX('Settings'!$L$10:$L$39,MATCH($H1818,'Settings'!$I$10:$I$39,0)),0))</f>
        <v/>
      </c>
      <c r="R1818" s="17">
        <f>IF($A1818="","",$A1818-WEEKDAY($A1818,2)+1)</f>
        <v/>
      </c>
    </row>
    <row r="1819">
      <c r="A1819" s="5" t="n"/>
      <c r="B1819" s="4" t="n"/>
      <c r="C1819" s="4" t="n"/>
      <c r="D1819" s="4" t="n"/>
      <c r="E1819" s="4" t="n"/>
      <c r="F1819" s="4" t="n"/>
      <c r="G1819" s="4" t="n"/>
      <c r="H1819" s="4" t="n"/>
      <c r="I1819" s="9">
        <f>IF($H1819="","",IFERROR(INDEX('Settings'!$J$10:$J$39,MATCH($H1819,'Settings'!$I$10:$I$39,0)),""))</f>
        <v/>
      </c>
      <c r="J1819" s="6" t="n"/>
      <c r="K1819" s="8" t="n"/>
      <c r="L1819" s="8" t="n"/>
      <c r="M1819" s="14">
        <f>IF($A1819="","",$J1819*$K1819)</f>
        <v/>
      </c>
      <c r="N1819" s="14">
        <f>IF($A1819="","",$M1819-$L1819)</f>
        <v/>
      </c>
      <c r="O1819" s="4" t="n"/>
      <c r="P1819" s="15">
        <f>IF($A1819="","",DATE(YEAR($A1819),MONTH($A1819),1))</f>
        <v/>
      </c>
      <c r="Q1819" s="16">
        <f>IF($H1819="","",$J1819*IFERROR(INDEX('Settings'!$L$10:$L$39,MATCH($H1819,'Settings'!$I$10:$I$39,0)),0))</f>
        <v/>
      </c>
      <c r="R1819" s="17">
        <f>IF($A1819="","",$A1819-WEEKDAY($A1819,2)+1)</f>
        <v/>
      </c>
    </row>
    <row r="1820">
      <c r="A1820" s="5" t="n"/>
      <c r="B1820" s="4" t="n"/>
      <c r="C1820" s="4" t="n"/>
      <c r="D1820" s="4" t="n"/>
      <c r="E1820" s="4" t="n"/>
      <c r="F1820" s="4" t="n"/>
      <c r="G1820" s="4" t="n"/>
      <c r="H1820" s="4" t="n"/>
      <c r="I1820" s="9">
        <f>IF($H1820="","",IFERROR(INDEX('Settings'!$J$10:$J$39,MATCH($H1820,'Settings'!$I$10:$I$39,0)),""))</f>
        <v/>
      </c>
      <c r="J1820" s="6" t="n"/>
      <c r="K1820" s="8" t="n"/>
      <c r="L1820" s="8" t="n"/>
      <c r="M1820" s="14">
        <f>IF($A1820="","",$J1820*$K1820)</f>
        <v/>
      </c>
      <c r="N1820" s="14">
        <f>IF($A1820="","",$M1820-$L1820)</f>
        <v/>
      </c>
      <c r="O1820" s="4" t="n"/>
      <c r="P1820" s="15">
        <f>IF($A1820="","",DATE(YEAR($A1820),MONTH($A1820),1))</f>
        <v/>
      </c>
      <c r="Q1820" s="16">
        <f>IF($H1820="","",$J1820*IFERROR(INDEX('Settings'!$L$10:$L$39,MATCH($H1820,'Settings'!$I$10:$I$39,0)),0))</f>
        <v/>
      </c>
      <c r="R1820" s="17">
        <f>IF($A1820="","",$A1820-WEEKDAY($A1820,2)+1)</f>
        <v/>
      </c>
    </row>
    <row r="1821">
      <c r="A1821" s="5" t="n"/>
      <c r="B1821" s="4" t="n"/>
      <c r="C1821" s="4" t="n"/>
      <c r="D1821" s="4" t="n"/>
      <c r="E1821" s="4" t="n"/>
      <c r="F1821" s="4" t="n"/>
      <c r="G1821" s="4" t="n"/>
      <c r="H1821" s="4" t="n"/>
      <c r="I1821" s="9">
        <f>IF($H1821="","",IFERROR(INDEX('Settings'!$J$10:$J$39,MATCH($H1821,'Settings'!$I$10:$I$39,0)),""))</f>
        <v/>
      </c>
      <c r="J1821" s="6" t="n"/>
      <c r="K1821" s="8" t="n"/>
      <c r="L1821" s="8" t="n"/>
      <c r="M1821" s="14">
        <f>IF($A1821="","",$J1821*$K1821)</f>
        <v/>
      </c>
      <c r="N1821" s="14">
        <f>IF($A1821="","",$M1821-$L1821)</f>
        <v/>
      </c>
      <c r="O1821" s="4" t="n"/>
      <c r="P1821" s="15">
        <f>IF($A1821="","",DATE(YEAR($A1821),MONTH($A1821),1))</f>
        <v/>
      </c>
      <c r="Q1821" s="16">
        <f>IF($H1821="","",$J1821*IFERROR(INDEX('Settings'!$L$10:$L$39,MATCH($H1821,'Settings'!$I$10:$I$39,0)),0))</f>
        <v/>
      </c>
      <c r="R1821" s="17">
        <f>IF($A1821="","",$A1821-WEEKDAY($A1821,2)+1)</f>
        <v/>
      </c>
    </row>
    <row r="1822">
      <c r="A1822" s="5" t="n"/>
      <c r="B1822" s="4" t="n"/>
      <c r="C1822" s="4" t="n"/>
      <c r="D1822" s="4" t="n"/>
      <c r="E1822" s="4" t="n"/>
      <c r="F1822" s="4" t="n"/>
      <c r="G1822" s="4" t="n"/>
      <c r="H1822" s="4" t="n"/>
      <c r="I1822" s="9">
        <f>IF($H1822="","",IFERROR(INDEX('Settings'!$J$10:$J$39,MATCH($H1822,'Settings'!$I$10:$I$39,0)),""))</f>
        <v/>
      </c>
      <c r="J1822" s="6" t="n"/>
      <c r="K1822" s="8" t="n"/>
      <c r="L1822" s="8" t="n"/>
      <c r="M1822" s="14">
        <f>IF($A1822="","",$J1822*$K1822)</f>
        <v/>
      </c>
      <c r="N1822" s="14">
        <f>IF($A1822="","",$M1822-$L1822)</f>
        <v/>
      </c>
      <c r="O1822" s="4" t="n"/>
      <c r="P1822" s="15">
        <f>IF($A1822="","",DATE(YEAR($A1822),MONTH($A1822),1))</f>
        <v/>
      </c>
      <c r="Q1822" s="16">
        <f>IF($H1822="","",$J1822*IFERROR(INDEX('Settings'!$L$10:$L$39,MATCH($H1822,'Settings'!$I$10:$I$39,0)),0))</f>
        <v/>
      </c>
      <c r="R1822" s="17">
        <f>IF($A1822="","",$A1822-WEEKDAY($A1822,2)+1)</f>
        <v/>
      </c>
    </row>
    <row r="1823">
      <c r="A1823" s="5" t="n"/>
      <c r="B1823" s="4" t="n"/>
      <c r="C1823" s="4" t="n"/>
      <c r="D1823" s="4" t="n"/>
      <c r="E1823" s="4" t="n"/>
      <c r="F1823" s="4" t="n"/>
      <c r="G1823" s="4" t="n"/>
      <c r="H1823" s="4" t="n"/>
      <c r="I1823" s="9">
        <f>IF($H1823="","",IFERROR(INDEX('Settings'!$J$10:$J$39,MATCH($H1823,'Settings'!$I$10:$I$39,0)),""))</f>
        <v/>
      </c>
      <c r="J1823" s="6" t="n"/>
      <c r="K1823" s="8" t="n"/>
      <c r="L1823" s="8" t="n"/>
      <c r="M1823" s="14">
        <f>IF($A1823="","",$J1823*$K1823)</f>
        <v/>
      </c>
      <c r="N1823" s="14">
        <f>IF($A1823="","",$M1823-$L1823)</f>
        <v/>
      </c>
      <c r="O1823" s="4" t="n"/>
      <c r="P1823" s="15">
        <f>IF($A1823="","",DATE(YEAR($A1823),MONTH($A1823),1))</f>
        <v/>
      </c>
      <c r="Q1823" s="16">
        <f>IF($H1823="","",$J1823*IFERROR(INDEX('Settings'!$L$10:$L$39,MATCH($H1823,'Settings'!$I$10:$I$39,0)),0))</f>
        <v/>
      </c>
      <c r="R1823" s="17">
        <f>IF($A1823="","",$A1823-WEEKDAY($A1823,2)+1)</f>
        <v/>
      </c>
    </row>
    <row r="1824">
      <c r="A1824" s="5" t="n"/>
      <c r="B1824" s="4" t="n"/>
      <c r="C1824" s="4" t="n"/>
      <c r="D1824" s="4" t="n"/>
      <c r="E1824" s="4" t="n"/>
      <c r="F1824" s="4" t="n"/>
      <c r="G1824" s="4" t="n"/>
      <c r="H1824" s="4" t="n"/>
      <c r="I1824" s="9">
        <f>IF($H1824="","",IFERROR(INDEX('Settings'!$J$10:$J$39,MATCH($H1824,'Settings'!$I$10:$I$39,0)),""))</f>
        <v/>
      </c>
      <c r="J1824" s="6" t="n"/>
      <c r="K1824" s="8" t="n"/>
      <c r="L1824" s="8" t="n"/>
      <c r="M1824" s="14">
        <f>IF($A1824="","",$J1824*$K1824)</f>
        <v/>
      </c>
      <c r="N1824" s="14">
        <f>IF($A1824="","",$M1824-$L1824)</f>
        <v/>
      </c>
      <c r="O1824" s="4" t="n"/>
      <c r="P1824" s="15">
        <f>IF($A1824="","",DATE(YEAR($A1824),MONTH($A1824),1))</f>
        <v/>
      </c>
      <c r="Q1824" s="16">
        <f>IF($H1824="","",$J1824*IFERROR(INDEX('Settings'!$L$10:$L$39,MATCH($H1824,'Settings'!$I$10:$I$39,0)),0))</f>
        <v/>
      </c>
      <c r="R1824" s="17">
        <f>IF($A1824="","",$A1824-WEEKDAY($A1824,2)+1)</f>
        <v/>
      </c>
    </row>
    <row r="1825">
      <c r="A1825" s="5" t="n"/>
      <c r="B1825" s="4" t="n"/>
      <c r="C1825" s="4" t="n"/>
      <c r="D1825" s="4" t="n"/>
      <c r="E1825" s="4" t="n"/>
      <c r="F1825" s="4" t="n"/>
      <c r="G1825" s="4" t="n"/>
      <c r="H1825" s="4" t="n"/>
      <c r="I1825" s="9">
        <f>IF($H1825="","",IFERROR(INDEX('Settings'!$J$10:$J$39,MATCH($H1825,'Settings'!$I$10:$I$39,0)),""))</f>
        <v/>
      </c>
      <c r="J1825" s="6" t="n"/>
      <c r="K1825" s="8" t="n"/>
      <c r="L1825" s="8" t="n"/>
      <c r="M1825" s="14">
        <f>IF($A1825="","",$J1825*$K1825)</f>
        <v/>
      </c>
      <c r="N1825" s="14">
        <f>IF($A1825="","",$M1825-$L1825)</f>
        <v/>
      </c>
      <c r="O1825" s="4" t="n"/>
      <c r="P1825" s="15">
        <f>IF($A1825="","",DATE(YEAR($A1825),MONTH($A1825),1))</f>
        <v/>
      </c>
      <c r="Q1825" s="16">
        <f>IF($H1825="","",$J1825*IFERROR(INDEX('Settings'!$L$10:$L$39,MATCH($H1825,'Settings'!$I$10:$I$39,0)),0))</f>
        <v/>
      </c>
      <c r="R1825" s="17">
        <f>IF($A1825="","",$A1825-WEEKDAY($A1825,2)+1)</f>
        <v/>
      </c>
    </row>
    <row r="1826">
      <c r="A1826" s="5" t="n"/>
      <c r="B1826" s="4" t="n"/>
      <c r="C1826" s="4" t="n"/>
      <c r="D1826" s="4" t="n"/>
      <c r="E1826" s="4" t="n"/>
      <c r="F1826" s="4" t="n"/>
      <c r="G1826" s="4" t="n"/>
      <c r="H1826" s="4" t="n"/>
      <c r="I1826" s="9">
        <f>IF($H1826="","",IFERROR(INDEX('Settings'!$J$10:$J$39,MATCH($H1826,'Settings'!$I$10:$I$39,0)),""))</f>
        <v/>
      </c>
      <c r="J1826" s="6" t="n"/>
      <c r="K1826" s="8" t="n"/>
      <c r="L1826" s="8" t="n"/>
      <c r="M1826" s="14">
        <f>IF($A1826="","",$J1826*$K1826)</f>
        <v/>
      </c>
      <c r="N1826" s="14">
        <f>IF($A1826="","",$M1826-$L1826)</f>
        <v/>
      </c>
      <c r="O1826" s="4" t="n"/>
      <c r="P1826" s="15">
        <f>IF($A1826="","",DATE(YEAR($A1826),MONTH($A1826),1))</f>
        <v/>
      </c>
      <c r="Q1826" s="16">
        <f>IF($H1826="","",$J1826*IFERROR(INDEX('Settings'!$L$10:$L$39,MATCH($H1826,'Settings'!$I$10:$I$39,0)),0))</f>
        <v/>
      </c>
      <c r="R1826" s="17">
        <f>IF($A1826="","",$A1826-WEEKDAY($A1826,2)+1)</f>
        <v/>
      </c>
    </row>
    <row r="1827">
      <c r="A1827" s="5" t="n"/>
      <c r="B1827" s="4" t="n"/>
      <c r="C1827" s="4" t="n"/>
      <c r="D1827" s="4" t="n"/>
      <c r="E1827" s="4" t="n"/>
      <c r="F1827" s="4" t="n"/>
      <c r="G1827" s="4" t="n"/>
      <c r="H1827" s="4" t="n"/>
      <c r="I1827" s="9">
        <f>IF($H1827="","",IFERROR(INDEX('Settings'!$J$10:$J$39,MATCH($H1827,'Settings'!$I$10:$I$39,0)),""))</f>
        <v/>
      </c>
      <c r="J1827" s="6" t="n"/>
      <c r="K1827" s="8" t="n"/>
      <c r="L1827" s="8" t="n"/>
      <c r="M1827" s="14">
        <f>IF($A1827="","",$J1827*$K1827)</f>
        <v/>
      </c>
      <c r="N1827" s="14">
        <f>IF($A1827="","",$M1827-$L1827)</f>
        <v/>
      </c>
      <c r="O1827" s="4" t="n"/>
      <c r="P1827" s="15">
        <f>IF($A1827="","",DATE(YEAR($A1827),MONTH($A1827),1))</f>
        <v/>
      </c>
      <c r="Q1827" s="16">
        <f>IF($H1827="","",$J1827*IFERROR(INDEX('Settings'!$L$10:$L$39,MATCH($H1827,'Settings'!$I$10:$I$39,0)),0))</f>
        <v/>
      </c>
      <c r="R1827" s="17">
        <f>IF($A1827="","",$A1827-WEEKDAY($A1827,2)+1)</f>
        <v/>
      </c>
    </row>
    <row r="1828">
      <c r="A1828" s="5" t="n"/>
      <c r="B1828" s="4" t="n"/>
      <c r="C1828" s="4" t="n"/>
      <c r="D1828" s="4" t="n"/>
      <c r="E1828" s="4" t="n"/>
      <c r="F1828" s="4" t="n"/>
      <c r="G1828" s="4" t="n"/>
      <c r="H1828" s="4" t="n"/>
      <c r="I1828" s="9">
        <f>IF($H1828="","",IFERROR(INDEX('Settings'!$J$10:$J$39,MATCH($H1828,'Settings'!$I$10:$I$39,0)),""))</f>
        <v/>
      </c>
      <c r="J1828" s="6" t="n"/>
      <c r="K1828" s="8" t="n"/>
      <c r="L1828" s="8" t="n"/>
      <c r="M1828" s="14">
        <f>IF($A1828="","",$J1828*$K1828)</f>
        <v/>
      </c>
      <c r="N1828" s="14">
        <f>IF($A1828="","",$M1828-$L1828)</f>
        <v/>
      </c>
      <c r="O1828" s="4" t="n"/>
      <c r="P1828" s="15">
        <f>IF($A1828="","",DATE(YEAR($A1828),MONTH($A1828),1))</f>
        <v/>
      </c>
      <c r="Q1828" s="16">
        <f>IF($H1828="","",$J1828*IFERROR(INDEX('Settings'!$L$10:$L$39,MATCH($H1828,'Settings'!$I$10:$I$39,0)),0))</f>
        <v/>
      </c>
      <c r="R1828" s="17">
        <f>IF($A1828="","",$A1828-WEEKDAY($A1828,2)+1)</f>
        <v/>
      </c>
    </row>
    <row r="1829">
      <c r="A1829" s="5" t="n"/>
      <c r="B1829" s="4" t="n"/>
      <c r="C1829" s="4" t="n"/>
      <c r="D1829" s="4" t="n"/>
      <c r="E1829" s="4" t="n"/>
      <c r="F1829" s="4" t="n"/>
      <c r="G1829" s="4" t="n"/>
      <c r="H1829" s="4" t="n"/>
      <c r="I1829" s="9">
        <f>IF($H1829="","",IFERROR(INDEX('Settings'!$J$10:$J$39,MATCH($H1829,'Settings'!$I$10:$I$39,0)),""))</f>
        <v/>
      </c>
      <c r="J1829" s="6" t="n"/>
      <c r="K1829" s="8" t="n"/>
      <c r="L1829" s="8" t="n"/>
      <c r="M1829" s="14">
        <f>IF($A1829="","",$J1829*$K1829)</f>
        <v/>
      </c>
      <c r="N1829" s="14">
        <f>IF($A1829="","",$M1829-$L1829)</f>
        <v/>
      </c>
      <c r="O1829" s="4" t="n"/>
      <c r="P1829" s="15">
        <f>IF($A1829="","",DATE(YEAR($A1829),MONTH($A1829),1))</f>
        <v/>
      </c>
      <c r="Q1829" s="16">
        <f>IF($H1829="","",$J1829*IFERROR(INDEX('Settings'!$L$10:$L$39,MATCH($H1829,'Settings'!$I$10:$I$39,0)),0))</f>
        <v/>
      </c>
      <c r="R1829" s="17">
        <f>IF($A1829="","",$A1829-WEEKDAY($A1829,2)+1)</f>
        <v/>
      </c>
    </row>
    <row r="1830">
      <c r="A1830" s="5" t="n"/>
      <c r="B1830" s="4" t="n"/>
      <c r="C1830" s="4" t="n"/>
      <c r="D1830" s="4" t="n"/>
      <c r="E1830" s="4" t="n"/>
      <c r="F1830" s="4" t="n"/>
      <c r="G1830" s="4" t="n"/>
      <c r="H1830" s="4" t="n"/>
      <c r="I1830" s="9">
        <f>IF($H1830="","",IFERROR(INDEX('Settings'!$J$10:$J$39,MATCH($H1830,'Settings'!$I$10:$I$39,0)),""))</f>
        <v/>
      </c>
      <c r="J1830" s="6" t="n"/>
      <c r="K1830" s="8" t="n"/>
      <c r="L1830" s="8" t="n"/>
      <c r="M1830" s="14">
        <f>IF($A1830="","",$J1830*$K1830)</f>
        <v/>
      </c>
      <c r="N1830" s="14">
        <f>IF($A1830="","",$M1830-$L1830)</f>
        <v/>
      </c>
      <c r="O1830" s="4" t="n"/>
      <c r="P1830" s="15">
        <f>IF($A1830="","",DATE(YEAR($A1830),MONTH($A1830),1))</f>
        <v/>
      </c>
      <c r="Q1830" s="16">
        <f>IF($H1830="","",$J1830*IFERROR(INDEX('Settings'!$L$10:$L$39,MATCH($H1830,'Settings'!$I$10:$I$39,0)),0))</f>
        <v/>
      </c>
      <c r="R1830" s="17">
        <f>IF($A1830="","",$A1830-WEEKDAY($A1830,2)+1)</f>
        <v/>
      </c>
    </row>
    <row r="1831">
      <c r="A1831" s="5" t="n"/>
      <c r="B1831" s="4" t="n"/>
      <c r="C1831" s="4" t="n"/>
      <c r="D1831" s="4" t="n"/>
      <c r="E1831" s="4" t="n"/>
      <c r="F1831" s="4" t="n"/>
      <c r="G1831" s="4" t="n"/>
      <c r="H1831" s="4" t="n"/>
      <c r="I1831" s="9">
        <f>IF($H1831="","",IFERROR(INDEX('Settings'!$J$10:$J$39,MATCH($H1831,'Settings'!$I$10:$I$39,0)),""))</f>
        <v/>
      </c>
      <c r="J1831" s="6" t="n"/>
      <c r="K1831" s="8" t="n"/>
      <c r="L1831" s="8" t="n"/>
      <c r="M1831" s="14">
        <f>IF($A1831="","",$J1831*$K1831)</f>
        <v/>
      </c>
      <c r="N1831" s="14">
        <f>IF($A1831="","",$M1831-$L1831)</f>
        <v/>
      </c>
      <c r="O1831" s="4" t="n"/>
      <c r="P1831" s="15">
        <f>IF($A1831="","",DATE(YEAR($A1831),MONTH($A1831),1))</f>
        <v/>
      </c>
      <c r="Q1831" s="16">
        <f>IF($H1831="","",$J1831*IFERROR(INDEX('Settings'!$L$10:$L$39,MATCH($H1831,'Settings'!$I$10:$I$39,0)),0))</f>
        <v/>
      </c>
      <c r="R1831" s="17">
        <f>IF($A1831="","",$A1831-WEEKDAY($A1831,2)+1)</f>
        <v/>
      </c>
    </row>
    <row r="1832">
      <c r="A1832" s="5" t="n"/>
      <c r="B1832" s="4" t="n"/>
      <c r="C1832" s="4" t="n"/>
      <c r="D1832" s="4" t="n"/>
      <c r="E1832" s="4" t="n"/>
      <c r="F1832" s="4" t="n"/>
      <c r="G1832" s="4" t="n"/>
      <c r="H1832" s="4" t="n"/>
      <c r="I1832" s="9">
        <f>IF($H1832="","",IFERROR(INDEX('Settings'!$J$10:$J$39,MATCH($H1832,'Settings'!$I$10:$I$39,0)),""))</f>
        <v/>
      </c>
      <c r="J1832" s="6" t="n"/>
      <c r="K1832" s="8" t="n"/>
      <c r="L1832" s="8" t="n"/>
      <c r="M1832" s="14">
        <f>IF($A1832="","",$J1832*$K1832)</f>
        <v/>
      </c>
      <c r="N1832" s="14">
        <f>IF($A1832="","",$M1832-$L1832)</f>
        <v/>
      </c>
      <c r="O1832" s="4" t="n"/>
      <c r="P1832" s="15">
        <f>IF($A1832="","",DATE(YEAR($A1832),MONTH($A1832),1))</f>
        <v/>
      </c>
      <c r="Q1832" s="16">
        <f>IF($H1832="","",$J1832*IFERROR(INDEX('Settings'!$L$10:$L$39,MATCH($H1832,'Settings'!$I$10:$I$39,0)),0))</f>
        <v/>
      </c>
      <c r="R1832" s="17">
        <f>IF($A1832="","",$A1832-WEEKDAY($A1832,2)+1)</f>
        <v/>
      </c>
    </row>
    <row r="1833">
      <c r="A1833" s="5" t="n"/>
      <c r="B1833" s="4" t="n"/>
      <c r="C1833" s="4" t="n"/>
      <c r="D1833" s="4" t="n"/>
      <c r="E1833" s="4" t="n"/>
      <c r="F1833" s="4" t="n"/>
      <c r="G1833" s="4" t="n"/>
      <c r="H1833" s="4" t="n"/>
      <c r="I1833" s="9">
        <f>IF($H1833="","",IFERROR(INDEX('Settings'!$J$10:$J$39,MATCH($H1833,'Settings'!$I$10:$I$39,0)),""))</f>
        <v/>
      </c>
      <c r="J1833" s="6" t="n"/>
      <c r="K1833" s="8" t="n"/>
      <c r="L1833" s="8" t="n"/>
      <c r="M1833" s="14">
        <f>IF($A1833="","",$J1833*$K1833)</f>
        <v/>
      </c>
      <c r="N1833" s="14">
        <f>IF($A1833="","",$M1833-$L1833)</f>
        <v/>
      </c>
      <c r="O1833" s="4" t="n"/>
      <c r="P1833" s="15">
        <f>IF($A1833="","",DATE(YEAR($A1833),MONTH($A1833),1))</f>
        <v/>
      </c>
      <c r="Q1833" s="16">
        <f>IF($H1833="","",$J1833*IFERROR(INDEX('Settings'!$L$10:$L$39,MATCH($H1833,'Settings'!$I$10:$I$39,0)),0))</f>
        <v/>
      </c>
      <c r="R1833" s="17">
        <f>IF($A1833="","",$A1833-WEEKDAY($A1833,2)+1)</f>
        <v/>
      </c>
    </row>
    <row r="1834">
      <c r="A1834" s="5" t="n"/>
      <c r="B1834" s="4" t="n"/>
      <c r="C1834" s="4" t="n"/>
      <c r="D1834" s="4" t="n"/>
      <c r="E1834" s="4" t="n"/>
      <c r="F1834" s="4" t="n"/>
      <c r="G1834" s="4" t="n"/>
      <c r="H1834" s="4" t="n"/>
      <c r="I1834" s="9">
        <f>IF($H1834="","",IFERROR(INDEX('Settings'!$J$10:$J$39,MATCH($H1834,'Settings'!$I$10:$I$39,0)),""))</f>
        <v/>
      </c>
      <c r="J1834" s="6" t="n"/>
      <c r="K1834" s="8" t="n"/>
      <c r="L1834" s="8" t="n"/>
      <c r="M1834" s="14">
        <f>IF($A1834="","",$J1834*$K1834)</f>
        <v/>
      </c>
      <c r="N1834" s="14">
        <f>IF($A1834="","",$M1834-$L1834)</f>
        <v/>
      </c>
      <c r="O1834" s="4" t="n"/>
      <c r="P1834" s="15">
        <f>IF($A1834="","",DATE(YEAR($A1834),MONTH($A1834),1))</f>
        <v/>
      </c>
      <c r="Q1834" s="16">
        <f>IF($H1834="","",$J1834*IFERROR(INDEX('Settings'!$L$10:$L$39,MATCH($H1834,'Settings'!$I$10:$I$39,0)),0))</f>
        <v/>
      </c>
      <c r="R1834" s="17">
        <f>IF($A1834="","",$A1834-WEEKDAY($A1834,2)+1)</f>
        <v/>
      </c>
    </row>
    <row r="1835">
      <c r="A1835" s="5" t="n"/>
      <c r="B1835" s="4" t="n"/>
      <c r="C1835" s="4" t="n"/>
      <c r="D1835" s="4" t="n"/>
      <c r="E1835" s="4" t="n"/>
      <c r="F1835" s="4" t="n"/>
      <c r="G1835" s="4" t="n"/>
      <c r="H1835" s="4" t="n"/>
      <c r="I1835" s="9">
        <f>IF($H1835="","",IFERROR(INDEX('Settings'!$J$10:$J$39,MATCH($H1835,'Settings'!$I$10:$I$39,0)),""))</f>
        <v/>
      </c>
      <c r="J1835" s="6" t="n"/>
      <c r="K1835" s="8" t="n"/>
      <c r="L1835" s="8" t="n"/>
      <c r="M1835" s="14">
        <f>IF($A1835="","",$J1835*$K1835)</f>
        <v/>
      </c>
      <c r="N1835" s="14">
        <f>IF($A1835="","",$M1835-$L1835)</f>
        <v/>
      </c>
      <c r="O1835" s="4" t="n"/>
      <c r="P1835" s="15">
        <f>IF($A1835="","",DATE(YEAR($A1835),MONTH($A1835),1))</f>
        <v/>
      </c>
      <c r="Q1835" s="16">
        <f>IF($H1835="","",$J1835*IFERROR(INDEX('Settings'!$L$10:$L$39,MATCH($H1835,'Settings'!$I$10:$I$39,0)),0))</f>
        <v/>
      </c>
      <c r="R1835" s="17">
        <f>IF($A1835="","",$A1835-WEEKDAY($A1835,2)+1)</f>
        <v/>
      </c>
    </row>
    <row r="1836">
      <c r="A1836" s="5" t="n"/>
      <c r="B1836" s="4" t="n"/>
      <c r="C1836" s="4" t="n"/>
      <c r="D1836" s="4" t="n"/>
      <c r="E1836" s="4" t="n"/>
      <c r="F1836" s="4" t="n"/>
      <c r="G1836" s="4" t="n"/>
      <c r="H1836" s="4" t="n"/>
      <c r="I1836" s="9">
        <f>IF($H1836="","",IFERROR(INDEX('Settings'!$J$10:$J$39,MATCH($H1836,'Settings'!$I$10:$I$39,0)),""))</f>
        <v/>
      </c>
      <c r="J1836" s="6" t="n"/>
      <c r="K1836" s="8" t="n"/>
      <c r="L1836" s="8" t="n"/>
      <c r="M1836" s="14">
        <f>IF($A1836="","",$J1836*$K1836)</f>
        <v/>
      </c>
      <c r="N1836" s="14">
        <f>IF($A1836="","",$M1836-$L1836)</f>
        <v/>
      </c>
      <c r="O1836" s="4" t="n"/>
      <c r="P1836" s="15">
        <f>IF($A1836="","",DATE(YEAR($A1836),MONTH($A1836),1))</f>
        <v/>
      </c>
      <c r="Q1836" s="16">
        <f>IF($H1836="","",$J1836*IFERROR(INDEX('Settings'!$L$10:$L$39,MATCH($H1836,'Settings'!$I$10:$I$39,0)),0))</f>
        <v/>
      </c>
      <c r="R1836" s="17">
        <f>IF($A1836="","",$A1836-WEEKDAY($A1836,2)+1)</f>
        <v/>
      </c>
    </row>
    <row r="1837">
      <c r="A1837" s="5" t="n"/>
      <c r="B1837" s="4" t="n"/>
      <c r="C1837" s="4" t="n"/>
      <c r="D1837" s="4" t="n"/>
      <c r="E1837" s="4" t="n"/>
      <c r="F1837" s="4" t="n"/>
      <c r="G1837" s="4" t="n"/>
      <c r="H1837" s="4" t="n"/>
      <c r="I1837" s="9">
        <f>IF($H1837="","",IFERROR(INDEX('Settings'!$J$10:$J$39,MATCH($H1837,'Settings'!$I$10:$I$39,0)),""))</f>
        <v/>
      </c>
      <c r="J1837" s="6" t="n"/>
      <c r="K1837" s="8" t="n"/>
      <c r="L1837" s="8" t="n"/>
      <c r="M1837" s="14">
        <f>IF($A1837="","",$J1837*$K1837)</f>
        <v/>
      </c>
      <c r="N1837" s="14">
        <f>IF($A1837="","",$M1837-$L1837)</f>
        <v/>
      </c>
      <c r="O1837" s="4" t="n"/>
      <c r="P1837" s="15">
        <f>IF($A1837="","",DATE(YEAR($A1837),MONTH($A1837),1))</f>
        <v/>
      </c>
      <c r="Q1837" s="16">
        <f>IF($H1837="","",$J1837*IFERROR(INDEX('Settings'!$L$10:$L$39,MATCH($H1837,'Settings'!$I$10:$I$39,0)),0))</f>
        <v/>
      </c>
      <c r="R1837" s="17">
        <f>IF($A1837="","",$A1837-WEEKDAY($A1837,2)+1)</f>
        <v/>
      </c>
    </row>
    <row r="1838">
      <c r="A1838" s="5" t="n"/>
      <c r="B1838" s="4" t="n"/>
      <c r="C1838" s="4" t="n"/>
      <c r="D1838" s="4" t="n"/>
      <c r="E1838" s="4" t="n"/>
      <c r="F1838" s="4" t="n"/>
      <c r="G1838" s="4" t="n"/>
      <c r="H1838" s="4" t="n"/>
      <c r="I1838" s="9">
        <f>IF($H1838="","",IFERROR(INDEX('Settings'!$J$10:$J$39,MATCH($H1838,'Settings'!$I$10:$I$39,0)),""))</f>
        <v/>
      </c>
      <c r="J1838" s="6" t="n"/>
      <c r="K1838" s="8" t="n"/>
      <c r="L1838" s="8" t="n"/>
      <c r="M1838" s="14">
        <f>IF($A1838="","",$J1838*$K1838)</f>
        <v/>
      </c>
      <c r="N1838" s="14">
        <f>IF($A1838="","",$M1838-$L1838)</f>
        <v/>
      </c>
      <c r="O1838" s="4" t="n"/>
      <c r="P1838" s="15">
        <f>IF($A1838="","",DATE(YEAR($A1838),MONTH($A1838),1))</f>
        <v/>
      </c>
      <c r="Q1838" s="16">
        <f>IF($H1838="","",$J1838*IFERROR(INDEX('Settings'!$L$10:$L$39,MATCH($H1838,'Settings'!$I$10:$I$39,0)),0))</f>
        <v/>
      </c>
      <c r="R1838" s="17">
        <f>IF($A1838="","",$A1838-WEEKDAY($A1838,2)+1)</f>
        <v/>
      </c>
    </row>
    <row r="1839">
      <c r="A1839" s="5" t="n"/>
      <c r="B1839" s="4" t="n"/>
      <c r="C1839" s="4" t="n"/>
      <c r="D1839" s="4" t="n"/>
      <c r="E1839" s="4" t="n"/>
      <c r="F1839" s="4" t="n"/>
      <c r="G1839" s="4" t="n"/>
      <c r="H1839" s="4" t="n"/>
      <c r="I1839" s="9">
        <f>IF($H1839="","",IFERROR(INDEX('Settings'!$J$10:$J$39,MATCH($H1839,'Settings'!$I$10:$I$39,0)),""))</f>
        <v/>
      </c>
      <c r="J1839" s="6" t="n"/>
      <c r="K1839" s="8" t="n"/>
      <c r="L1839" s="8" t="n"/>
      <c r="M1839" s="14">
        <f>IF($A1839="","",$J1839*$K1839)</f>
        <v/>
      </c>
      <c r="N1839" s="14">
        <f>IF($A1839="","",$M1839-$L1839)</f>
        <v/>
      </c>
      <c r="O1839" s="4" t="n"/>
      <c r="P1839" s="15">
        <f>IF($A1839="","",DATE(YEAR($A1839),MONTH($A1839),1))</f>
        <v/>
      </c>
      <c r="Q1839" s="16">
        <f>IF($H1839="","",$J1839*IFERROR(INDEX('Settings'!$L$10:$L$39,MATCH($H1839,'Settings'!$I$10:$I$39,0)),0))</f>
        <v/>
      </c>
      <c r="R1839" s="17">
        <f>IF($A1839="","",$A1839-WEEKDAY($A1839,2)+1)</f>
        <v/>
      </c>
    </row>
    <row r="1840">
      <c r="A1840" s="5" t="n"/>
      <c r="B1840" s="4" t="n"/>
      <c r="C1840" s="4" t="n"/>
      <c r="D1840" s="4" t="n"/>
      <c r="E1840" s="4" t="n"/>
      <c r="F1840" s="4" t="n"/>
      <c r="G1840" s="4" t="n"/>
      <c r="H1840" s="4" t="n"/>
      <c r="I1840" s="9">
        <f>IF($H1840="","",IFERROR(INDEX('Settings'!$J$10:$J$39,MATCH($H1840,'Settings'!$I$10:$I$39,0)),""))</f>
        <v/>
      </c>
      <c r="J1840" s="6" t="n"/>
      <c r="K1840" s="8" t="n"/>
      <c r="L1840" s="8" t="n"/>
      <c r="M1840" s="14">
        <f>IF($A1840="","",$J1840*$K1840)</f>
        <v/>
      </c>
      <c r="N1840" s="14">
        <f>IF($A1840="","",$M1840-$L1840)</f>
        <v/>
      </c>
      <c r="O1840" s="4" t="n"/>
      <c r="P1840" s="15">
        <f>IF($A1840="","",DATE(YEAR($A1840),MONTH($A1840),1))</f>
        <v/>
      </c>
      <c r="Q1840" s="16">
        <f>IF($H1840="","",$J1840*IFERROR(INDEX('Settings'!$L$10:$L$39,MATCH($H1840,'Settings'!$I$10:$I$39,0)),0))</f>
        <v/>
      </c>
      <c r="R1840" s="17">
        <f>IF($A1840="","",$A1840-WEEKDAY($A1840,2)+1)</f>
        <v/>
      </c>
    </row>
    <row r="1841">
      <c r="A1841" s="5" t="n"/>
      <c r="B1841" s="4" t="n"/>
      <c r="C1841" s="4" t="n"/>
      <c r="D1841" s="4" t="n"/>
      <c r="E1841" s="4" t="n"/>
      <c r="F1841" s="4" t="n"/>
      <c r="G1841" s="4" t="n"/>
      <c r="H1841" s="4" t="n"/>
      <c r="I1841" s="9">
        <f>IF($H1841="","",IFERROR(INDEX('Settings'!$J$10:$J$39,MATCH($H1841,'Settings'!$I$10:$I$39,0)),""))</f>
        <v/>
      </c>
      <c r="J1841" s="6" t="n"/>
      <c r="K1841" s="8" t="n"/>
      <c r="L1841" s="8" t="n"/>
      <c r="M1841" s="14">
        <f>IF($A1841="","",$J1841*$K1841)</f>
        <v/>
      </c>
      <c r="N1841" s="14">
        <f>IF($A1841="","",$M1841-$L1841)</f>
        <v/>
      </c>
      <c r="O1841" s="4" t="n"/>
      <c r="P1841" s="15">
        <f>IF($A1841="","",DATE(YEAR($A1841),MONTH($A1841),1))</f>
        <v/>
      </c>
      <c r="Q1841" s="16">
        <f>IF($H1841="","",$J1841*IFERROR(INDEX('Settings'!$L$10:$L$39,MATCH($H1841,'Settings'!$I$10:$I$39,0)),0))</f>
        <v/>
      </c>
      <c r="R1841" s="17">
        <f>IF($A1841="","",$A1841-WEEKDAY($A1841,2)+1)</f>
        <v/>
      </c>
    </row>
    <row r="1842">
      <c r="A1842" s="5" t="n"/>
      <c r="B1842" s="4" t="n"/>
      <c r="C1842" s="4" t="n"/>
      <c r="D1842" s="4" t="n"/>
      <c r="E1842" s="4" t="n"/>
      <c r="F1842" s="4" t="n"/>
      <c r="G1842" s="4" t="n"/>
      <c r="H1842" s="4" t="n"/>
      <c r="I1842" s="9">
        <f>IF($H1842="","",IFERROR(INDEX('Settings'!$J$10:$J$39,MATCH($H1842,'Settings'!$I$10:$I$39,0)),""))</f>
        <v/>
      </c>
      <c r="J1842" s="6" t="n"/>
      <c r="K1842" s="8" t="n"/>
      <c r="L1842" s="8" t="n"/>
      <c r="M1842" s="14">
        <f>IF($A1842="","",$J1842*$K1842)</f>
        <v/>
      </c>
      <c r="N1842" s="14">
        <f>IF($A1842="","",$M1842-$L1842)</f>
        <v/>
      </c>
      <c r="O1842" s="4" t="n"/>
      <c r="P1842" s="15">
        <f>IF($A1842="","",DATE(YEAR($A1842),MONTH($A1842),1))</f>
        <v/>
      </c>
      <c r="Q1842" s="16">
        <f>IF($H1842="","",$J1842*IFERROR(INDEX('Settings'!$L$10:$L$39,MATCH($H1842,'Settings'!$I$10:$I$39,0)),0))</f>
        <v/>
      </c>
      <c r="R1842" s="17">
        <f>IF($A1842="","",$A1842-WEEKDAY($A1842,2)+1)</f>
        <v/>
      </c>
    </row>
    <row r="1843">
      <c r="A1843" s="5" t="n"/>
      <c r="B1843" s="4" t="n"/>
      <c r="C1843" s="4" t="n"/>
      <c r="D1843" s="4" t="n"/>
      <c r="E1843" s="4" t="n"/>
      <c r="F1843" s="4" t="n"/>
      <c r="G1843" s="4" t="n"/>
      <c r="H1843" s="4" t="n"/>
      <c r="I1843" s="9">
        <f>IF($H1843="","",IFERROR(INDEX('Settings'!$J$10:$J$39,MATCH($H1843,'Settings'!$I$10:$I$39,0)),""))</f>
        <v/>
      </c>
      <c r="J1843" s="6" t="n"/>
      <c r="K1843" s="8" t="n"/>
      <c r="L1843" s="8" t="n"/>
      <c r="M1843" s="14">
        <f>IF($A1843="","",$J1843*$K1843)</f>
        <v/>
      </c>
      <c r="N1843" s="14">
        <f>IF($A1843="","",$M1843-$L1843)</f>
        <v/>
      </c>
      <c r="O1843" s="4" t="n"/>
      <c r="P1843" s="15">
        <f>IF($A1843="","",DATE(YEAR($A1843),MONTH($A1843),1))</f>
        <v/>
      </c>
      <c r="Q1843" s="16">
        <f>IF($H1843="","",$J1843*IFERROR(INDEX('Settings'!$L$10:$L$39,MATCH($H1843,'Settings'!$I$10:$I$39,0)),0))</f>
        <v/>
      </c>
      <c r="R1843" s="17">
        <f>IF($A1843="","",$A1843-WEEKDAY($A1843,2)+1)</f>
        <v/>
      </c>
    </row>
    <row r="1844">
      <c r="A1844" s="5" t="n"/>
      <c r="B1844" s="4" t="n"/>
      <c r="C1844" s="4" t="n"/>
      <c r="D1844" s="4" t="n"/>
      <c r="E1844" s="4" t="n"/>
      <c r="F1844" s="4" t="n"/>
      <c r="G1844" s="4" t="n"/>
      <c r="H1844" s="4" t="n"/>
      <c r="I1844" s="9">
        <f>IF($H1844="","",IFERROR(INDEX('Settings'!$J$10:$J$39,MATCH($H1844,'Settings'!$I$10:$I$39,0)),""))</f>
        <v/>
      </c>
      <c r="J1844" s="6" t="n"/>
      <c r="K1844" s="8" t="n"/>
      <c r="L1844" s="8" t="n"/>
      <c r="M1844" s="14">
        <f>IF($A1844="","",$J1844*$K1844)</f>
        <v/>
      </c>
      <c r="N1844" s="14">
        <f>IF($A1844="","",$M1844-$L1844)</f>
        <v/>
      </c>
      <c r="O1844" s="4" t="n"/>
      <c r="P1844" s="15">
        <f>IF($A1844="","",DATE(YEAR($A1844),MONTH($A1844),1))</f>
        <v/>
      </c>
      <c r="Q1844" s="16">
        <f>IF($H1844="","",$J1844*IFERROR(INDEX('Settings'!$L$10:$L$39,MATCH($H1844,'Settings'!$I$10:$I$39,0)),0))</f>
        <v/>
      </c>
      <c r="R1844" s="17">
        <f>IF($A1844="","",$A1844-WEEKDAY($A1844,2)+1)</f>
        <v/>
      </c>
    </row>
    <row r="1845">
      <c r="A1845" s="5" t="n"/>
      <c r="B1845" s="4" t="n"/>
      <c r="C1845" s="4" t="n"/>
      <c r="D1845" s="4" t="n"/>
      <c r="E1845" s="4" t="n"/>
      <c r="F1845" s="4" t="n"/>
      <c r="G1845" s="4" t="n"/>
      <c r="H1845" s="4" t="n"/>
      <c r="I1845" s="9">
        <f>IF($H1845="","",IFERROR(INDEX('Settings'!$J$10:$J$39,MATCH($H1845,'Settings'!$I$10:$I$39,0)),""))</f>
        <v/>
      </c>
      <c r="J1845" s="6" t="n"/>
      <c r="K1845" s="8" t="n"/>
      <c r="L1845" s="8" t="n"/>
      <c r="M1845" s="14">
        <f>IF($A1845="","",$J1845*$K1845)</f>
        <v/>
      </c>
      <c r="N1845" s="14">
        <f>IF($A1845="","",$M1845-$L1845)</f>
        <v/>
      </c>
      <c r="O1845" s="4" t="n"/>
      <c r="P1845" s="15">
        <f>IF($A1845="","",DATE(YEAR($A1845),MONTH($A1845),1))</f>
        <v/>
      </c>
      <c r="Q1845" s="16">
        <f>IF($H1845="","",$J1845*IFERROR(INDEX('Settings'!$L$10:$L$39,MATCH($H1845,'Settings'!$I$10:$I$39,0)),0))</f>
        <v/>
      </c>
      <c r="R1845" s="17">
        <f>IF($A1845="","",$A1845-WEEKDAY($A1845,2)+1)</f>
        <v/>
      </c>
    </row>
    <row r="1846">
      <c r="A1846" s="5" t="n"/>
      <c r="B1846" s="4" t="n"/>
      <c r="C1846" s="4" t="n"/>
      <c r="D1846" s="4" t="n"/>
      <c r="E1846" s="4" t="n"/>
      <c r="F1846" s="4" t="n"/>
      <c r="G1846" s="4" t="n"/>
      <c r="H1846" s="4" t="n"/>
      <c r="I1846" s="9">
        <f>IF($H1846="","",IFERROR(INDEX('Settings'!$J$10:$J$39,MATCH($H1846,'Settings'!$I$10:$I$39,0)),""))</f>
        <v/>
      </c>
      <c r="J1846" s="6" t="n"/>
      <c r="K1846" s="8" t="n"/>
      <c r="L1846" s="8" t="n"/>
      <c r="M1846" s="14">
        <f>IF($A1846="","",$J1846*$K1846)</f>
        <v/>
      </c>
      <c r="N1846" s="14">
        <f>IF($A1846="","",$M1846-$L1846)</f>
        <v/>
      </c>
      <c r="O1846" s="4" t="n"/>
      <c r="P1846" s="15">
        <f>IF($A1846="","",DATE(YEAR($A1846),MONTH($A1846),1))</f>
        <v/>
      </c>
      <c r="Q1846" s="16">
        <f>IF($H1846="","",$J1846*IFERROR(INDEX('Settings'!$L$10:$L$39,MATCH($H1846,'Settings'!$I$10:$I$39,0)),0))</f>
        <v/>
      </c>
      <c r="R1846" s="17">
        <f>IF($A1846="","",$A1846-WEEKDAY($A1846,2)+1)</f>
        <v/>
      </c>
    </row>
    <row r="1847">
      <c r="A1847" s="5" t="n"/>
      <c r="B1847" s="4" t="n"/>
      <c r="C1847" s="4" t="n"/>
      <c r="D1847" s="4" t="n"/>
      <c r="E1847" s="4" t="n"/>
      <c r="F1847" s="4" t="n"/>
      <c r="G1847" s="4" t="n"/>
      <c r="H1847" s="4" t="n"/>
      <c r="I1847" s="9">
        <f>IF($H1847="","",IFERROR(INDEX('Settings'!$J$10:$J$39,MATCH($H1847,'Settings'!$I$10:$I$39,0)),""))</f>
        <v/>
      </c>
      <c r="J1847" s="6" t="n"/>
      <c r="K1847" s="8" t="n"/>
      <c r="L1847" s="8" t="n"/>
      <c r="M1847" s="14">
        <f>IF($A1847="","",$J1847*$K1847)</f>
        <v/>
      </c>
      <c r="N1847" s="14">
        <f>IF($A1847="","",$M1847-$L1847)</f>
        <v/>
      </c>
      <c r="O1847" s="4" t="n"/>
      <c r="P1847" s="15">
        <f>IF($A1847="","",DATE(YEAR($A1847),MONTH($A1847),1))</f>
        <v/>
      </c>
      <c r="Q1847" s="16">
        <f>IF($H1847="","",$J1847*IFERROR(INDEX('Settings'!$L$10:$L$39,MATCH($H1847,'Settings'!$I$10:$I$39,0)),0))</f>
        <v/>
      </c>
      <c r="R1847" s="17">
        <f>IF($A1847="","",$A1847-WEEKDAY($A1847,2)+1)</f>
        <v/>
      </c>
    </row>
    <row r="1848">
      <c r="A1848" s="5" t="n"/>
      <c r="B1848" s="4" t="n"/>
      <c r="C1848" s="4" t="n"/>
      <c r="D1848" s="4" t="n"/>
      <c r="E1848" s="4" t="n"/>
      <c r="F1848" s="4" t="n"/>
      <c r="G1848" s="4" t="n"/>
      <c r="H1848" s="4" t="n"/>
      <c r="I1848" s="9">
        <f>IF($H1848="","",IFERROR(INDEX('Settings'!$J$10:$J$39,MATCH($H1848,'Settings'!$I$10:$I$39,0)),""))</f>
        <v/>
      </c>
      <c r="J1848" s="6" t="n"/>
      <c r="K1848" s="8" t="n"/>
      <c r="L1848" s="8" t="n"/>
      <c r="M1848" s="14">
        <f>IF($A1848="","",$J1848*$K1848)</f>
        <v/>
      </c>
      <c r="N1848" s="14">
        <f>IF($A1848="","",$M1848-$L1848)</f>
        <v/>
      </c>
      <c r="O1848" s="4" t="n"/>
      <c r="P1848" s="15">
        <f>IF($A1848="","",DATE(YEAR($A1848),MONTH($A1848),1))</f>
        <v/>
      </c>
      <c r="Q1848" s="16">
        <f>IF($H1848="","",$J1848*IFERROR(INDEX('Settings'!$L$10:$L$39,MATCH($H1848,'Settings'!$I$10:$I$39,0)),0))</f>
        <v/>
      </c>
      <c r="R1848" s="17">
        <f>IF($A1848="","",$A1848-WEEKDAY($A1848,2)+1)</f>
        <v/>
      </c>
    </row>
    <row r="1849">
      <c r="A1849" s="5" t="n"/>
      <c r="B1849" s="4" t="n"/>
      <c r="C1849" s="4" t="n"/>
      <c r="D1849" s="4" t="n"/>
      <c r="E1849" s="4" t="n"/>
      <c r="F1849" s="4" t="n"/>
      <c r="G1849" s="4" t="n"/>
      <c r="H1849" s="4" t="n"/>
      <c r="I1849" s="9">
        <f>IF($H1849="","",IFERROR(INDEX('Settings'!$J$10:$J$39,MATCH($H1849,'Settings'!$I$10:$I$39,0)),""))</f>
        <v/>
      </c>
      <c r="J1849" s="6" t="n"/>
      <c r="K1849" s="8" t="n"/>
      <c r="L1849" s="8" t="n"/>
      <c r="M1849" s="14">
        <f>IF($A1849="","",$J1849*$K1849)</f>
        <v/>
      </c>
      <c r="N1849" s="14">
        <f>IF($A1849="","",$M1849-$L1849)</f>
        <v/>
      </c>
      <c r="O1849" s="4" t="n"/>
      <c r="P1849" s="15">
        <f>IF($A1849="","",DATE(YEAR($A1849),MONTH($A1849),1))</f>
        <v/>
      </c>
      <c r="Q1849" s="16">
        <f>IF($H1849="","",$J1849*IFERROR(INDEX('Settings'!$L$10:$L$39,MATCH($H1849,'Settings'!$I$10:$I$39,0)),0))</f>
        <v/>
      </c>
      <c r="R1849" s="17">
        <f>IF($A1849="","",$A1849-WEEKDAY($A1849,2)+1)</f>
        <v/>
      </c>
    </row>
    <row r="1850">
      <c r="A1850" s="5" t="n"/>
      <c r="B1850" s="4" t="n"/>
      <c r="C1850" s="4" t="n"/>
      <c r="D1850" s="4" t="n"/>
      <c r="E1850" s="4" t="n"/>
      <c r="F1850" s="4" t="n"/>
      <c r="G1850" s="4" t="n"/>
      <c r="H1850" s="4" t="n"/>
      <c r="I1850" s="9">
        <f>IF($H1850="","",IFERROR(INDEX('Settings'!$J$10:$J$39,MATCH($H1850,'Settings'!$I$10:$I$39,0)),""))</f>
        <v/>
      </c>
      <c r="J1850" s="6" t="n"/>
      <c r="K1850" s="8" t="n"/>
      <c r="L1850" s="8" t="n"/>
      <c r="M1850" s="14">
        <f>IF($A1850="","",$J1850*$K1850)</f>
        <v/>
      </c>
      <c r="N1850" s="14">
        <f>IF($A1850="","",$M1850-$L1850)</f>
        <v/>
      </c>
      <c r="O1850" s="4" t="n"/>
      <c r="P1850" s="15">
        <f>IF($A1850="","",DATE(YEAR($A1850),MONTH($A1850),1))</f>
        <v/>
      </c>
      <c r="Q1850" s="16">
        <f>IF($H1850="","",$J1850*IFERROR(INDEX('Settings'!$L$10:$L$39,MATCH($H1850,'Settings'!$I$10:$I$39,0)),0))</f>
        <v/>
      </c>
      <c r="R1850" s="17">
        <f>IF($A1850="","",$A1850-WEEKDAY($A1850,2)+1)</f>
        <v/>
      </c>
    </row>
    <row r="1851">
      <c r="A1851" s="5" t="n"/>
      <c r="B1851" s="4" t="n"/>
      <c r="C1851" s="4" t="n"/>
      <c r="D1851" s="4" t="n"/>
      <c r="E1851" s="4" t="n"/>
      <c r="F1851" s="4" t="n"/>
      <c r="G1851" s="4" t="n"/>
      <c r="H1851" s="4" t="n"/>
      <c r="I1851" s="9">
        <f>IF($H1851="","",IFERROR(INDEX('Settings'!$J$10:$J$39,MATCH($H1851,'Settings'!$I$10:$I$39,0)),""))</f>
        <v/>
      </c>
      <c r="J1851" s="6" t="n"/>
      <c r="K1851" s="8" t="n"/>
      <c r="L1851" s="8" t="n"/>
      <c r="M1851" s="14">
        <f>IF($A1851="","",$J1851*$K1851)</f>
        <v/>
      </c>
      <c r="N1851" s="14">
        <f>IF($A1851="","",$M1851-$L1851)</f>
        <v/>
      </c>
      <c r="O1851" s="4" t="n"/>
      <c r="P1851" s="15">
        <f>IF($A1851="","",DATE(YEAR($A1851),MONTH($A1851),1))</f>
        <v/>
      </c>
      <c r="Q1851" s="16">
        <f>IF($H1851="","",$J1851*IFERROR(INDEX('Settings'!$L$10:$L$39,MATCH($H1851,'Settings'!$I$10:$I$39,0)),0))</f>
        <v/>
      </c>
      <c r="R1851" s="17">
        <f>IF($A1851="","",$A1851-WEEKDAY($A1851,2)+1)</f>
        <v/>
      </c>
    </row>
    <row r="1852">
      <c r="A1852" s="5" t="n"/>
      <c r="B1852" s="4" t="n"/>
      <c r="C1852" s="4" t="n"/>
      <c r="D1852" s="4" t="n"/>
      <c r="E1852" s="4" t="n"/>
      <c r="F1852" s="4" t="n"/>
      <c r="G1852" s="4" t="n"/>
      <c r="H1852" s="4" t="n"/>
      <c r="I1852" s="9">
        <f>IF($H1852="","",IFERROR(INDEX('Settings'!$J$10:$J$39,MATCH($H1852,'Settings'!$I$10:$I$39,0)),""))</f>
        <v/>
      </c>
      <c r="J1852" s="6" t="n"/>
      <c r="K1852" s="8" t="n"/>
      <c r="L1852" s="8" t="n"/>
      <c r="M1852" s="14">
        <f>IF($A1852="","",$J1852*$K1852)</f>
        <v/>
      </c>
      <c r="N1852" s="14">
        <f>IF($A1852="","",$M1852-$L1852)</f>
        <v/>
      </c>
      <c r="O1852" s="4" t="n"/>
      <c r="P1852" s="15">
        <f>IF($A1852="","",DATE(YEAR($A1852),MONTH($A1852),1))</f>
        <v/>
      </c>
      <c r="Q1852" s="16">
        <f>IF($H1852="","",$J1852*IFERROR(INDEX('Settings'!$L$10:$L$39,MATCH($H1852,'Settings'!$I$10:$I$39,0)),0))</f>
        <v/>
      </c>
      <c r="R1852" s="17">
        <f>IF($A1852="","",$A1852-WEEKDAY($A1852,2)+1)</f>
        <v/>
      </c>
    </row>
    <row r="1853">
      <c r="A1853" s="5" t="n"/>
      <c r="B1853" s="4" t="n"/>
      <c r="C1853" s="4" t="n"/>
      <c r="D1853" s="4" t="n"/>
      <c r="E1853" s="4" t="n"/>
      <c r="F1853" s="4" t="n"/>
      <c r="G1853" s="4" t="n"/>
      <c r="H1853" s="4" t="n"/>
      <c r="I1853" s="9">
        <f>IF($H1853="","",IFERROR(INDEX('Settings'!$J$10:$J$39,MATCH($H1853,'Settings'!$I$10:$I$39,0)),""))</f>
        <v/>
      </c>
      <c r="J1853" s="6" t="n"/>
      <c r="K1853" s="8" t="n"/>
      <c r="L1853" s="8" t="n"/>
      <c r="M1853" s="14">
        <f>IF($A1853="","",$J1853*$K1853)</f>
        <v/>
      </c>
      <c r="N1853" s="14">
        <f>IF($A1853="","",$M1853-$L1853)</f>
        <v/>
      </c>
      <c r="O1853" s="4" t="n"/>
      <c r="P1853" s="15">
        <f>IF($A1853="","",DATE(YEAR($A1853),MONTH($A1853),1))</f>
        <v/>
      </c>
      <c r="Q1853" s="16">
        <f>IF($H1853="","",$J1853*IFERROR(INDEX('Settings'!$L$10:$L$39,MATCH($H1853,'Settings'!$I$10:$I$39,0)),0))</f>
        <v/>
      </c>
      <c r="R1853" s="17">
        <f>IF($A1853="","",$A1853-WEEKDAY($A1853,2)+1)</f>
        <v/>
      </c>
    </row>
    <row r="1854">
      <c r="A1854" s="5" t="n"/>
      <c r="B1854" s="4" t="n"/>
      <c r="C1854" s="4" t="n"/>
      <c r="D1854" s="4" t="n"/>
      <c r="E1854" s="4" t="n"/>
      <c r="F1854" s="4" t="n"/>
      <c r="G1854" s="4" t="n"/>
      <c r="H1854" s="4" t="n"/>
      <c r="I1854" s="9">
        <f>IF($H1854="","",IFERROR(INDEX('Settings'!$J$10:$J$39,MATCH($H1854,'Settings'!$I$10:$I$39,0)),""))</f>
        <v/>
      </c>
      <c r="J1854" s="6" t="n"/>
      <c r="K1854" s="8" t="n"/>
      <c r="L1854" s="8" t="n"/>
      <c r="M1854" s="14">
        <f>IF($A1854="","",$J1854*$K1854)</f>
        <v/>
      </c>
      <c r="N1854" s="14">
        <f>IF($A1854="","",$M1854-$L1854)</f>
        <v/>
      </c>
      <c r="O1854" s="4" t="n"/>
      <c r="P1854" s="15">
        <f>IF($A1854="","",DATE(YEAR($A1854),MONTH($A1854),1))</f>
        <v/>
      </c>
      <c r="Q1854" s="16">
        <f>IF($H1854="","",$J1854*IFERROR(INDEX('Settings'!$L$10:$L$39,MATCH($H1854,'Settings'!$I$10:$I$39,0)),0))</f>
        <v/>
      </c>
      <c r="R1854" s="17">
        <f>IF($A1854="","",$A1854-WEEKDAY($A1854,2)+1)</f>
        <v/>
      </c>
    </row>
    <row r="1855">
      <c r="A1855" s="5" t="n"/>
      <c r="B1855" s="4" t="n"/>
      <c r="C1855" s="4" t="n"/>
      <c r="D1855" s="4" t="n"/>
      <c r="E1855" s="4" t="n"/>
      <c r="F1855" s="4" t="n"/>
      <c r="G1855" s="4" t="n"/>
      <c r="H1855" s="4" t="n"/>
      <c r="I1855" s="9">
        <f>IF($H1855="","",IFERROR(INDEX('Settings'!$J$10:$J$39,MATCH($H1855,'Settings'!$I$10:$I$39,0)),""))</f>
        <v/>
      </c>
      <c r="J1855" s="6" t="n"/>
      <c r="K1855" s="8" t="n"/>
      <c r="L1855" s="8" t="n"/>
      <c r="M1855" s="14">
        <f>IF($A1855="","",$J1855*$K1855)</f>
        <v/>
      </c>
      <c r="N1855" s="14">
        <f>IF($A1855="","",$M1855-$L1855)</f>
        <v/>
      </c>
      <c r="O1855" s="4" t="n"/>
      <c r="P1855" s="15">
        <f>IF($A1855="","",DATE(YEAR($A1855),MONTH($A1855),1))</f>
        <v/>
      </c>
      <c r="Q1855" s="16">
        <f>IF($H1855="","",$J1855*IFERROR(INDEX('Settings'!$L$10:$L$39,MATCH($H1855,'Settings'!$I$10:$I$39,0)),0))</f>
        <v/>
      </c>
      <c r="R1855" s="17">
        <f>IF($A1855="","",$A1855-WEEKDAY($A1855,2)+1)</f>
        <v/>
      </c>
    </row>
    <row r="1856">
      <c r="A1856" s="5" t="n"/>
      <c r="B1856" s="4" t="n"/>
      <c r="C1856" s="4" t="n"/>
      <c r="D1856" s="4" t="n"/>
      <c r="E1856" s="4" t="n"/>
      <c r="F1856" s="4" t="n"/>
      <c r="G1856" s="4" t="n"/>
      <c r="H1856" s="4" t="n"/>
      <c r="I1856" s="9">
        <f>IF($H1856="","",IFERROR(INDEX('Settings'!$J$10:$J$39,MATCH($H1856,'Settings'!$I$10:$I$39,0)),""))</f>
        <v/>
      </c>
      <c r="J1856" s="6" t="n"/>
      <c r="K1856" s="8" t="n"/>
      <c r="L1856" s="8" t="n"/>
      <c r="M1856" s="14">
        <f>IF($A1856="","",$J1856*$K1856)</f>
        <v/>
      </c>
      <c r="N1856" s="14">
        <f>IF($A1856="","",$M1856-$L1856)</f>
        <v/>
      </c>
      <c r="O1856" s="4" t="n"/>
      <c r="P1856" s="15">
        <f>IF($A1856="","",DATE(YEAR($A1856),MONTH($A1856),1))</f>
        <v/>
      </c>
      <c r="Q1856" s="16">
        <f>IF($H1856="","",$J1856*IFERROR(INDEX('Settings'!$L$10:$L$39,MATCH($H1856,'Settings'!$I$10:$I$39,0)),0))</f>
        <v/>
      </c>
      <c r="R1856" s="17">
        <f>IF($A1856="","",$A1856-WEEKDAY($A1856,2)+1)</f>
        <v/>
      </c>
    </row>
    <row r="1857">
      <c r="A1857" s="5" t="n"/>
      <c r="B1857" s="4" t="n"/>
      <c r="C1857" s="4" t="n"/>
      <c r="D1857" s="4" t="n"/>
      <c r="E1857" s="4" t="n"/>
      <c r="F1857" s="4" t="n"/>
      <c r="G1857" s="4" t="n"/>
      <c r="H1857" s="4" t="n"/>
      <c r="I1857" s="9">
        <f>IF($H1857="","",IFERROR(INDEX('Settings'!$J$10:$J$39,MATCH($H1857,'Settings'!$I$10:$I$39,0)),""))</f>
        <v/>
      </c>
      <c r="J1857" s="6" t="n"/>
      <c r="K1857" s="8" t="n"/>
      <c r="L1857" s="8" t="n"/>
      <c r="M1857" s="14">
        <f>IF($A1857="","",$J1857*$K1857)</f>
        <v/>
      </c>
      <c r="N1857" s="14">
        <f>IF($A1857="","",$M1857-$L1857)</f>
        <v/>
      </c>
      <c r="O1857" s="4" t="n"/>
      <c r="P1857" s="15">
        <f>IF($A1857="","",DATE(YEAR($A1857),MONTH($A1857),1))</f>
        <v/>
      </c>
      <c r="Q1857" s="16">
        <f>IF($H1857="","",$J1857*IFERROR(INDEX('Settings'!$L$10:$L$39,MATCH($H1857,'Settings'!$I$10:$I$39,0)),0))</f>
        <v/>
      </c>
      <c r="R1857" s="17">
        <f>IF($A1857="","",$A1857-WEEKDAY($A1857,2)+1)</f>
        <v/>
      </c>
    </row>
    <row r="1858">
      <c r="A1858" s="5" t="n"/>
      <c r="B1858" s="4" t="n"/>
      <c r="C1858" s="4" t="n"/>
      <c r="D1858" s="4" t="n"/>
      <c r="E1858" s="4" t="n"/>
      <c r="F1858" s="4" t="n"/>
      <c r="G1858" s="4" t="n"/>
      <c r="H1858" s="4" t="n"/>
      <c r="I1858" s="9">
        <f>IF($H1858="","",IFERROR(INDEX('Settings'!$J$10:$J$39,MATCH($H1858,'Settings'!$I$10:$I$39,0)),""))</f>
        <v/>
      </c>
      <c r="J1858" s="6" t="n"/>
      <c r="K1858" s="8" t="n"/>
      <c r="L1858" s="8" t="n"/>
      <c r="M1858" s="14">
        <f>IF($A1858="","",$J1858*$K1858)</f>
        <v/>
      </c>
      <c r="N1858" s="14">
        <f>IF($A1858="","",$M1858-$L1858)</f>
        <v/>
      </c>
      <c r="O1858" s="4" t="n"/>
      <c r="P1858" s="15">
        <f>IF($A1858="","",DATE(YEAR($A1858),MONTH($A1858),1))</f>
        <v/>
      </c>
      <c r="Q1858" s="16">
        <f>IF($H1858="","",$J1858*IFERROR(INDEX('Settings'!$L$10:$L$39,MATCH($H1858,'Settings'!$I$10:$I$39,0)),0))</f>
        <v/>
      </c>
      <c r="R1858" s="17">
        <f>IF($A1858="","",$A1858-WEEKDAY($A1858,2)+1)</f>
        <v/>
      </c>
    </row>
    <row r="1859">
      <c r="A1859" s="5" t="n"/>
      <c r="B1859" s="4" t="n"/>
      <c r="C1859" s="4" t="n"/>
      <c r="D1859" s="4" t="n"/>
      <c r="E1859" s="4" t="n"/>
      <c r="F1859" s="4" t="n"/>
      <c r="G1859" s="4" t="n"/>
      <c r="H1859" s="4" t="n"/>
      <c r="I1859" s="9">
        <f>IF($H1859="","",IFERROR(INDEX('Settings'!$J$10:$J$39,MATCH($H1859,'Settings'!$I$10:$I$39,0)),""))</f>
        <v/>
      </c>
      <c r="J1859" s="6" t="n"/>
      <c r="K1859" s="8" t="n"/>
      <c r="L1859" s="8" t="n"/>
      <c r="M1859" s="14">
        <f>IF($A1859="","",$J1859*$K1859)</f>
        <v/>
      </c>
      <c r="N1859" s="14">
        <f>IF($A1859="","",$M1859-$L1859)</f>
        <v/>
      </c>
      <c r="O1859" s="4" t="n"/>
      <c r="P1859" s="15">
        <f>IF($A1859="","",DATE(YEAR($A1859),MONTH($A1859),1))</f>
        <v/>
      </c>
      <c r="Q1859" s="16">
        <f>IF($H1859="","",$J1859*IFERROR(INDEX('Settings'!$L$10:$L$39,MATCH($H1859,'Settings'!$I$10:$I$39,0)),0))</f>
        <v/>
      </c>
      <c r="R1859" s="17">
        <f>IF($A1859="","",$A1859-WEEKDAY($A1859,2)+1)</f>
        <v/>
      </c>
    </row>
    <row r="1860">
      <c r="A1860" s="5" t="n"/>
      <c r="B1860" s="4" t="n"/>
      <c r="C1860" s="4" t="n"/>
      <c r="D1860" s="4" t="n"/>
      <c r="E1860" s="4" t="n"/>
      <c r="F1860" s="4" t="n"/>
      <c r="G1860" s="4" t="n"/>
      <c r="H1860" s="4" t="n"/>
      <c r="I1860" s="9">
        <f>IF($H1860="","",IFERROR(INDEX('Settings'!$J$10:$J$39,MATCH($H1860,'Settings'!$I$10:$I$39,0)),""))</f>
        <v/>
      </c>
      <c r="J1860" s="6" t="n"/>
      <c r="K1860" s="8" t="n"/>
      <c r="L1860" s="8" t="n"/>
      <c r="M1860" s="14">
        <f>IF($A1860="","",$J1860*$K1860)</f>
        <v/>
      </c>
      <c r="N1860" s="14">
        <f>IF($A1860="","",$M1860-$L1860)</f>
        <v/>
      </c>
      <c r="O1860" s="4" t="n"/>
      <c r="P1860" s="15">
        <f>IF($A1860="","",DATE(YEAR($A1860),MONTH($A1860),1))</f>
        <v/>
      </c>
      <c r="Q1860" s="16">
        <f>IF($H1860="","",$J1860*IFERROR(INDEX('Settings'!$L$10:$L$39,MATCH($H1860,'Settings'!$I$10:$I$39,0)),0))</f>
        <v/>
      </c>
      <c r="R1860" s="17">
        <f>IF($A1860="","",$A1860-WEEKDAY($A1860,2)+1)</f>
        <v/>
      </c>
    </row>
    <row r="1861">
      <c r="A1861" s="5" t="n"/>
      <c r="B1861" s="4" t="n"/>
      <c r="C1861" s="4" t="n"/>
      <c r="D1861" s="4" t="n"/>
      <c r="E1861" s="4" t="n"/>
      <c r="F1861" s="4" t="n"/>
      <c r="G1861" s="4" t="n"/>
      <c r="H1861" s="4" t="n"/>
      <c r="I1861" s="9">
        <f>IF($H1861="","",IFERROR(INDEX('Settings'!$J$10:$J$39,MATCH($H1861,'Settings'!$I$10:$I$39,0)),""))</f>
        <v/>
      </c>
      <c r="J1861" s="6" t="n"/>
      <c r="K1861" s="8" t="n"/>
      <c r="L1861" s="8" t="n"/>
      <c r="M1861" s="14">
        <f>IF($A1861="","",$J1861*$K1861)</f>
        <v/>
      </c>
      <c r="N1861" s="14">
        <f>IF($A1861="","",$M1861-$L1861)</f>
        <v/>
      </c>
      <c r="O1861" s="4" t="n"/>
      <c r="P1861" s="15">
        <f>IF($A1861="","",DATE(YEAR($A1861),MONTH($A1861),1))</f>
        <v/>
      </c>
      <c r="Q1861" s="16">
        <f>IF($H1861="","",$J1861*IFERROR(INDEX('Settings'!$L$10:$L$39,MATCH($H1861,'Settings'!$I$10:$I$39,0)),0))</f>
        <v/>
      </c>
      <c r="R1861" s="17">
        <f>IF($A1861="","",$A1861-WEEKDAY($A1861,2)+1)</f>
        <v/>
      </c>
    </row>
    <row r="1862">
      <c r="A1862" s="5" t="n"/>
      <c r="B1862" s="4" t="n"/>
      <c r="C1862" s="4" t="n"/>
      <c r="D1862" s="4" t="n"/>
      <c r="E1862" s="4" t="n"/>
      <c r="F1862" s="4" t="n"/>
      <c r="G1862" s="4" t="n"/>
      <c r="H1862" s="4" t="n"/>
      <c r="I1862" s="9">
        <f>IF($H1862="","",IFERROR(INDEX('Settings'!$J$10:$J$39,MATCH($H1862,'Settings'!$I$10:$I$39,0)),""))</f>
        <v/>
      </c>
      <c r="J1862" s="6" t="n"/>
      <c r="K1862" s="8" t="n"/>
      <c r="L1862" s="8" t="n"/>
      <c r="M1862" s="14">
        <f>IF($A1862="","",$J1862*$K1862)</f>
        <v/>
      </c>
      <c r="N1862" s="14">
        <f>IF($A1862="","",$M1862-$L1862)</f>
        <v/>
      </c>
      <c r="O1862" s="4" t="n"/>
      <c r="P1862" s="15">
        <f>IF($A1862="","",DATE(YEAR($A1862),MONTH($A1862),1))</f>
        <v/>
      </c>
      <c r="Q1862" s="16">
        <f>IF($H1862="","",$J1862*IFERROR(INDEX('Settings'!$L$10:$L$39,MATCH($H1862,'Settings'!$I$10:$I$39,0)),0))</f>
        <v/>
      </c>
      <c r="R1862" s="17">
        <f>IF($A1862="","",$A1862-WEEKDAY($A1862,2)+1)</f>
        <v/>
      </c>
    </row>
    <row r="1863">
      <c r="A1863" s="5" t="n"/>
      <c r="B1863" s="4" t="n"/>
      <c r="C1863" s="4" t="n"/>
      <c r="D1863" s="4" t="n"/>
      <c r="E1863" s="4" t="n"/>
      <c r="F1863" s="4" t="n"/>
      <c r="G1863" s="4" t="n"/>
      <c r="H1863" s="4" t="n"/>
      <c r="I1863" s="9">
        <f>IF($H1863="","",IFERROR(INDEX('Settings'!$J$10:$J$39,MATCH($H1863,'Settings'!$I$10:$I$39,0)),""))</f>
        <v/>
      </c>
      <c r="J1863" s="6" t="n"/>
      <c r="K1863" s="8" t="n"/>
      <c r="L1863" s="8" t="n"/>
      <c r="M1863" s="14">
        <f>IF($A1863="","",$J1863*$K1863)</f>
        <v/>
      </c>
      <c r="N1863" s="14">
        <f>IF($A1863="","",$M1863-$L1863)</f>
        <v/>
      </c>
      <c r="O1863" s="4" t="n"/>
      <c r="P1863" s="15">
        <f>IF($A1863="","",DATE(YEAR($A1863),MONTH($A1863),1))</f>
        <v/>
      </c>
      <c r="Q1863" s="16">
        <f>IF($H1863="","",$J1863*IFERROR(INDEX('Settings'!$L$10:$L$39,MATCH($H1863,'Settings'!$I$10:$I$39,0)),0))</f>
        <v/>
      </c>
      <c r="R1863" s="17">
        <f>IF($A1863="","",$A1863-WEEKDAY($A1863,2)+1)</f>
        <v/>
      </c>
    </row>
    <row r="1864">
      <c r="A1864" s="5" t="n"/>
      <c r="B1864" s="4" t="n"/>
      <c r="C1864" s="4" t="n"/>
      <c r="D1864" s="4" t="n"/>
      <c r="E1864" s="4" t="n"/>
      <c r="F1864" s="4" t="n"/>
      <c r="G1864" s="4" t="n"/>
      <c r="H1864" s="4" t="n"/>
      <c r="I1864" s="9">
        <f>IF($H1864="","",IFERROR(INDEX('Settings'!$J$10:$J$39,MATCH($H1864,'Settings'!$I$10:$I$39,0)),""))</f>
        <v/>
      </c>
      <c r="J1864" s="6" t="n"/>
      <c r="K1864" s="8" t="n"/>
      <c r="L1864" s="8" t="n"/>
      <c r="M1864" s="14">
        <f>IF($A1864="","",$J1864*$K1864)</f>
        <v/>
      </c>
      <c r="N1864" s="14">
        <f>IF($A1864="","",$M1864-$L1864)</f>
        <v/>
      </c>
      <c r="O1864" s="4" t="n"/>
      <c r="P1864" s="15">
        <f>IF($A1864="","",DATE(YEAR($A1864),MONTH($A1864),1))</f>
        <v/>
      </c>
      <c r="Q1864" s="16">
        <f>IF($H1864="","",$J1864*IFERROR(INDEX('Settings'!$L$10:$L$39,MATCH($H1864,'Settings'!$I$10:$I$39,0)),0))</f>
        <v/>
      </c>
      <c r="R1864" s="17">
        <f>IF($A1864="","",$A1864-WEEKDAY($A1864,2)+1)</f>
        <v/>
      </c>
    </row>
    <row r="1865">
      <c r="A1865" s="5" t="n"/>
      <c r="B1865" s="4" t="n"/>
      <c r="C1865" s="4" t="n"/>
      <c r="D1865" s="4" t="n"/>
      <c r="E1865" s="4" t="n"/>
      <c r="F1865" s="4" t="n"/>
      <c r="G1865" s="4" t="n"/>
      <c r="H1865" s="4" t="n"/>
      <c r="I1865" s="9">
        <f>IF($H1865="","",IFERROR(INDEX('Settings'!$J$10:$J$39,MATCH($H1865,'Settings'!$I$10:$I$39,0)),""))</f>
        <v/>
      </c>
      <c r="J1865" s="6" t="n"/>
      <c r="K1865" s="8" t="n"/>
      <c r="L1865" s="8" t="n"/>
      <c r="M1865" s="14">
        <f>IF($A1865="","",$J1865*$K1865)</f>
        <v/>
      </c>
      <c r="N1865" s="14">
        <f>IF($A1865="","",$M1865-$L1865)</f>
        <v/>
      </c>
      <c r="O1865" s="4" t="n"/>
      <c r="P1865" s="15">
        <f>IF($A1865="","",DATE(YEAR($A1865),MONTH($A1865),1))</f>
        <v/>
      </c>
      <c r="Q1865" s="16">
        <f>IF($H1865="","",$J1865*IFERROR(INDEX('Settings'!$L$10:$L$39,MATCH($H1865,'Settings'!$I$10:$I$39,0)),0))</f>
        <v/>
      </c>
      <c r="R1865" s="17">
        <f>IF($A1865="","",$A1865-WEEKDAY($A1865,2)+1)</f>
        <v/>
      </c>
    </row>
    <row r="1866">
      <c r="A1866" s="5" t="n"/>
      <c r="B1866" s="4" t="n"/>
      <c r="C1866" s="4" t="n"/>
      <c r="D1866" s="4" t="n"/>
      <c r="E1866" s="4" t="n"/>
      <c r="F1866" s="4" t="n"/>
      <c r="G1866" s="4" t="n"/>
      <c r="H1866" s="4" t="n"/>
      <c r="I1866" s="9">
        <f>IF($H1866="","",IFERROR(INDEX('Settings'!$J$10:$J$39,MATCH($H1866,'Settings'!$I$10:$I$39,0)),""))</f>
        <v/>
      </c>
      <c r="J1866" s="6" t="n"/>
      <c r="K1866" s="8" t="n"/>
      <c r="L1866" s="8" t="n"/>
      <c r="M1866" s="14">
        <f>IF($A1866="","",$J1866*$K1866)</f>
        <v/>
      </c>
      <c r="N1866" s="14">
        <f>IF($A1866="","",$M1866-$L1866)</f>
        <v/>
      </c>
      <c r="O1866" s="4" t="n"/>
      <c r="P1866" s="15">
        <f>IF($A1866="","",DATE(YEAR($A1866),MONTH($A1866),1))</f>
        <v/>
      </c>
      <c r="Q1866" s="16">
        <f>IF($H1866="","",$J1866*IFERROR(INDEX('Settings'!$L$10:$L$39,MATCH($H1866,'Settings'!$I$10:$I$39,0)),0))</f>
        <v/>
      </c>
      <c r="R1866" s="17">
        <f>IF($A1866="","",$A1866-WEEKDAY($A1866,2)+1)</f>
        <v/>
      </c>
    </row>
    <row r="1867">
      <c r="A1867" s="5" t="n"/>
      <c r="B1867" s="4" t="n"/>
      <c r="C1867" s="4" t="n"/>
      <c r="D1867" s="4" t="n"/>
      <c r="E1867" s="4" t="n"/>
      <c r="F1867" s="4" t="n"/>
      <c r="G1867" s="4" t="n"/>
      <c r="H1867" s="4" t="n"/>
      <c r="I1867" s="9">
        <f>IF($H1867="","",IFERROR(INDEX('Settings'!$J$10:$J$39,MATCH($H1867,'Settings'!$I$10:$I$39,0)),""))</f>
        <v/>
      </c>
      <c r="J1867" s="6" t="n"/>
      <c r="K1867" s="8" t="n"/>
      <c r="L1867" s="8" t="n"/>
      <c r="M1867" s="14">
        <f>IF($A1867="","",$J1867*$K1867)</f>
        <v/>
      </c>
      <c r="N1867" s="14">
        <f>IF($A1867="","",$M1867-$L1867)</f>
        <v/>
      </c>
      <c r="O1867" s="4" t="n"/>
      <c r="P1867" s="15">
        <f>IF($A1867="","",DATE(YEAR($A1867),MONTH($A1867),1))</f>
        <v/>
      </c>
      <c r="Q1867" s="16">
        <f>IF($H1867="","",$J1867*IFERROR(INDEX('Settings'!$L$10:$L$39,MATCH($H1867,'Settings'!$I$10:$I$39,0)),0))</f>
        <v/>
      </c>
      <c r="R1867" s="17">
        <f>IF($A1867="","",$A1867-WEEKDAY($A1867,2)+1)</f>
        <v/>
      </c>
    </row>
    <row r="1868">
      <c r="A1868" s="5" t="n"/>
      <c r="B1868" s="4" t="n"/>
      <c r="C1868" s="4" t="n"/>
      <c r="D1868" s="4" t="n"/>
      <c r="E1868" s="4" t="n"/>
      <c r="F1868" s="4" t="n"/>
      <c r="G1868" s="4" t="n"/>
      <c r="H1868" s="4" t="n"/>
      <c r="I1868" s="9">
        <f>IF($H1868="","",IFERROR(INDEX('Settings'!$J$10:$J$39,MATCH($H1868,'Settings'!$I$10:$I$39,0)),""))</f>
        <v/>
      </c>
      <c r="J1868" s="6" t="n"/>
      <c r="K1868" s="8" t="n"/>
      <c r="L1868" s="8" t="n"/>
      <c r="M1868" s="14">
        <f>IF($A1868="","",$J1868*$K1868)</f>
        <v/>
      </c>
      <c r="N1868" s="14">
        <f>IF($A1868="","",$M1868-$L1868)</f>
        <v/>
      </c>
      <c r="O1868" s="4" t="n"/>
      <c r="P1868" s="15">
        <f>IF($A1868="","",DATE(YEAR($A1868),MONTH($A1868),1))</f>
        <v/>
      </c>
      <c r="Q1868" s="16">
        <f>IF($H1868="","",$J1868*IFERROR(INDEX('Settings'!$L$10:$L$39,MATCH($H1868,'Settings'!$I$10:$I$39,0)),0))</f>
        <v/>
      </c>
      <c r="R1868" s="17">
        <f>IF($A1868="","",$A1868-WEEKDAY($A1868,2)+1)</f>
        <v/>
      </c>
    </row>
    <row r="1869">
      <c r="A1869" s="5" t="n"/>
      <c r="B1869" s="4" t="n"/>
      <c r="C1869" s="4" t="n"/>
      <c r="D1869" s="4" t="n"/>
      <c r="E1869" s="4" t="n"/>
      <c r="F1869" s="4" t="n"/>
      <c r="G1869" s="4" t="n"/>
      <c r="H1869" s="4" t="n"/>
      <c r="I1869" s="9">
        <f>IF($H1869="","",IFERROR(INDEX('Settings'!$J$10:$J$39,MATCH($H1869,'Settings'!$I$10:$I$39,0)),""))</f>
        <v/>
      </c>
      <c r="J1869" s="6" t="n"/>
      <c r="K1869" s="8" t="n"/>
      <c r="L1869" s="8" t="n"/>
      <c r="M1869" s="14">
        <f>IF($A1869="","",$J1869*$K1869)</f>
        <v/>
      </c>
      <c r="N1869" s="14">
        <f>IF($A1869="","",$M1869-$L1869)</f>
        <v/>
      </c>
      <c r="O1869" s="4" t="n"/>
      <c r="P1869" s="15">
        <f>IF($A1869="","",DATE(YEAR($A1869),MONTH($A1869),1))</f>
        <v/>
      </c>
      <c r="Q1869" s="16">
        <f>IF($H1869="","",$J1869*IFERROR(INDEX('Settings'!$L$10:$L$39,MATCH($H1869,'Settings'!$I$10:$I$39,0)),0))</f>
        <v/>
      </c>
      <c r="R1869" s="17">
        <f>IF($A1869="","",$A1869-WEEKDAY($A1869,2)+1)</f>
        <v/>
      </c>
    </row>
    <row r="1870">
      <c r="A1870" s="5" t="n"/>
      <c r="B1870" s="4" t="n"/>
      <c r="C1870" s="4" t="n"/>
      <c r="D1870" s="4" t="n"/>
      <c r="E1870" s="4" t="n"/>
      <c r="F1870" s="4" t="n"/>
      <c r="G1870" s="4" t="n"/>
      <c r="H1870" s="4" t="n"/>
      <c r="I1870" s="9">
        <f>IF($H1870="","",IFERROR(INDEX('Settings'!$J$10:$J$39,MATCH($H1870,'Settings'!$I$10:$I$39,0)),""))</f>
        <v/>
      </c>
      <c r="J1870" s="6" t="n"/>
      <c r="K1870" s="8" t="n"/>
      <c r="L1870" s="8" t="n"/>
      <c r="M1870" s="14">
        <f>IF($A1870="","",$J1870*$K1870)</f>
        <v/>
      </c>
      <c r="N1870" s="14">
        <f>IF($A1870="","",$M1870-$L1870)</f>
        <v/>
      </c>
      <c r="O1870" s="4" t="n"/>
      <c r="P1870" s="15">
        <f>IF($A1870="","",DATE(YEAR($A1870),MONTH($A1870),1))</f>
        <v/>
      </c>
      <c r="Q1870" s="16">
        <f>IF($H1870="","",$J1870*IFERROR(INDEX('Settings'!$L$10:$L$39,MATCH($H1870,'Settings'!$I$10:$I$39,0)),0))</f>
        <v/>
      </c>
      <c r="R1870" s="17">
        <f>IF($A1870="","",$A1870-WEEKDAY($A1870,2)+1)</f>
        <v/>
      </c>
    </row>
    <row r="1871">
      <c r="A1871" s="5" t="n"/>
      <c r="B1871" s="4" t="n"/>
      <c r="C1871" s="4" t="n"/>
      <c r="D1871" s="4" t="n"/>
      <c r="E1871" s="4" t="n"/>
      <c r="F1871" s="4" t="n"/>
      <c r="G1871" s="4" t="n"/>
      <c r="H1871" s="4" t="n"/>
      <c r="I1871" s="9">
        <f>IF($H1871="","",IFERROR(INDEX('Settings'!$J$10:$J$39,MATCH($H1871,'Settings'!$I$10:$I$39,0)),""))</f>
        <v/>
      </c>
      <c r="J1871" s="6" t="n"/>
      <c r="K1871" s="8" t="n"/>
      <c r="L1871" s="8" t="n"/>
      <c r="M1871" s="14">
        <f>IF($A1871="","",$J1871*$K1871)</f>
        <v/>
      </c>
      <c r="N1871" s="14">
        <f>IF($A1871="","",$M1871-$L1871)</f>
        <v/>
      </c>
      <c r="O1871" s="4" t="n"/>
      <c r="P1871" s="15">
        <f>IF($A1871="","",DATE(YEAR($A1871),MONTH($A1871),1))</f>
        <v/>
      </c>
      <c r="Q1871" s="16">
        <f>IF($H1871="","",$J1871*IFERROR(INDEX('Settings'!$L$10:$L$39,MATCH($H1871,'Settings'!$I$10:$I$39,0)),0))</f>
        <v/>
      </c>
      <c r="R1871" s="17">
        <f>IF($A1871="","",$A1871-WEEKDAY($A1871,2)+1)</f>
        <v/>
      </c>
    </row>
    <row r="1872">
      <c r="A1872" s="5" t="n"/>
      <c r="B1872" s="4" t="n"/>
      <c r="C1872" s="4" t="n"/>
      <c r="D1872" s="4" t="n"/>
      <c r="E1872" s="4" t="n"/>
      <c r="F1872" s="4" t="n"/>
      <c r="G1872" s="4" t="n"/>
      <c r="H1872" s="4" t="n"/>
      <c r="I1872" s="9">
        <f>IF($H1872="","",IFERROR(INDEX('Settings'!$J$10:$J$39,MATCH($H1872,'Settings'!$I$10:$I$39,0)),""))</f>
        <v/>
      </c>
      <c r="J1872" s="6" t="n"/>
      <c r="K1872" s="8" t="n"/>
      <c r="L1872" s="8" t="n"/>
      <c r="M1872" s="14">
        <f>IF($A1872="","",$J1872*$K1872)</f>
        <v/>
      </c>
      <c r="N1872" s="14">
        <f>IF($A1872="","",$M1872-$L1872)</f>
        <v/>
      </c>
      <c r="O1872" s="4" t="n"/>
      <c r="P1872" s="15">
        <f>IF($A1872="","",DATE(YEAR($A1872),MONTH($A1872),1))</f>
        <v/>
      </c>
      <c r="Q1872" s="16">
        <f>IF($H1872="","",$J1872*IFERROR(INDEX('Settings'!$L$10:$L$39,MATCH($H1872,'Settings'!$I$10:$I$39,0)),0))</f>
        <v/>
      </c>
      <c r="R1872" s="17">
        <f>IF($A1872="","",$A1872-WEEKDAY($A1872,2)+1)</f>
        <v/>
      </c>
    </row>
    <row r="1873">
      <c r="A1873" s="5" t="n"/>
      <c r="B1873" s="4" t="n"/>
      <c r="C1873" s="4" t="n"/>
      <c r="D1873" s="4" t="n"/>
      <c r="E1873" s="4" t="n"/>
      <c r="F1873" s="4" t="n"/>
      <c r="G1873" s="4" t="n"/>
      <c r="H1873" s="4" t="n"/>
      <c r="I1873" s="9">
        <f>IF($H1873="","",IFERROR(INDEX('Settings'!$J$10:$J$39,MATCH($H1873,'Settings'!$I$10:$I$39,0)),""))</f>
        <v/>
      </c>
      <c r="J1873" s="6" t="n"/>
      <c r="K1873" s="8" t="n"/>
      <c r="L1873" s="8" t="n"/>
      <c r="M1873" s="14">
        <f>IF($A1873="","",$J1873*$K1873)</f>
        <v/>
      </c>
      <c r="N1873" s="14">
        <f>IF($A1873="","",$M1873-$L1873)</f>
        <v/>
      </c>
      <c r="O1873" s="4" t="n"/>
      <c r="P1873" s="15">
        <f>IF($A1873="","",DATE(YEAR($A1873),MONTH($A1873),1))</f>
        <v/>
      </c>
      <c r="Q1873" s="16">
        <f>IF($H1873="","",$J1873*IFERROR(INDEX('Settings'!$L$10:$L$39,MATCH($H1873,'Settings'!$I$10:$I$39,0)),0))</f>
        <v/>
      </c>
      <c r="R1873" s="17">
        <f>IF($A1873="","",$A1873-WEEKDAY($A1873,2)+1)</f>
        <v/>
      </c>
    </row>
    <row r="1874">
      <c r="A1874" s="5" t="n"/>
      <c r="B1874" s="4" t="n"/>
      <c r="C1874" s="4" t="n"/>
      <c r="D1874" s="4" t="n"/>
      <c r="E1874" s="4" t="n"/>
      <c r="F1874" s="4" t="n"/>
      <c r="G1874" s="4" t="n"/>
      <c r="H1874" s="4" t="n"/>
      <c r="I1874" s="9">
        <f>IF($H1874="","",IFERROR(INDEX('Settings'!$J$10:$J$39,MATCH($H1874,'Settings'!$I$10:$I$39,0)),""))</f>
        <v/>
      </c>
      <c r="J1874" s="6" t="n"/>
      <c r="K1874" s="8" t="n"/>
      <c r="L1874" s="8" t="n"/>
      <c r="M1874" s="14">
        <f>IF($A1874="","",$J1874*$K1874)</f>
        <v/>
      </c>
      <c r="N1874" s="14">
        <f>IF($A1874="","",$M1874-$L1874)</f>
        <v/>
      </c>
      <c r="O1874" s="4" t="n"/>
      <c r="P1874" s="15">
        <f>IF($A1874="","",DATE(YEAR($A1874),MONTH($A1874),1))</f>
        <v/>
      </c>
      <c r="Q1874" s="16">
        <f>IF($H1874="","",$J1874*IFERROR(INDEX('Settings'!$L$10:$L$39,MATCH($H1874,'Settings'!$I$10:$I$39,0)),0))</f>
        <v/>
      </c>
      <c r="R1874" s="17">
        <f>IF($A1874="","",$A1874-WEEKDAY($A1874,2)+1)</f>
        <v/>
      </c>
    </row>
    <row r="1875">
      <c r="A1875" s="5" t="n"/>
      <c r="B1875" s="4" t="n"/>
      <c r="C1875" s="4" t="n"/>
      <c r="D1875" s="4" t="n"/>
      <c r="E1875" s="4" t="n"/>
      <c r="F1875" s="4" t="n"/>
      <c r="G1875" s="4" t="n"/>
      <c r="H1875" s="4" t="n"/>
      <c r="I1875" s="9">
        <f>IF($H1875="","",IFERROR(INDEX('Settings'!$J$10:$J$39,MATCH($H1875,'Settings'!$I$10:$I$39,0)),""))</f>
        <v/>
      </c>
      <c r="J1875" s="6" t="n"/>
      <c r="K1875" s="8" t="n"/>
      <c r="L1875" s="8" t="n"/>
      <c r="M1875" s="14">
        <f>IF($A1875="","",$J1875*$K1875)</f>
        <v/>
      </c>
      <c r="N1875" s="14">
        <f>IF($A1875="","",$M1875-$L1875)</f>
        <v/>
      </c>
      <c r="O1875" s="4" t="n"/>
      <c r="P1875" s="15">
        <f>IF($A1875="","",DATE(YEAR($A1875),MONTH($A1875),1))</f>
        <v/>
      </c>
      <c r="Q1875" s="16">
        <f>IF($H1875="","",$J1875*IFERROR(INDEX('Settings'!$L$10:$L$39,MATCH($H1875,'Settings'!$I$10:$I$39,0)),0))</f>
        <v/>
      </c>
      <c r="R1875" s="17">
        <f>IF($A1875="","",$A1875-WEEKDAY($A1875,2)+1)</f>
        <v/>
      </c>
    </row>
    <row r="1876">
      <c r="A1876" s="5" t="n"/>
      <c r="B1876" s="4" t="n"/>
      <c r="C1876" s="4" t="n"/>
      <c r="D1876" s="4" t="n"/>
      <c r="E1876" s="4" t="n"/>
      <c r="F1876" s="4" t="n"/>
      <c r="G1876" s="4" t="n"/>
      <c r="H1876" s="4" t="n"/>
      <c r="I1876" s="9">
        <f>IF($H1876="","",IFERROR(INDEX('Settings'!$J$10:$J$39,MATCH($H1876,'Settings'!$I$10:$I$39,0)),""))</f>
        <v/>
      </c>
      <c r="J1876" s="6" t="n"/>
      <c r="K1876" s="8" t="n"/>
      <c r="L1876" s="8" t="n"/>
      <c r="M1876" s="14">
        <f>IF($A1876="","",$J1876*$K1876)</f>
        <v/>
      </c>
      <c r="N1876" s="14">
        <f>IF($A1876="","",$M1876-$L1876)</f>
        <v/>
      </c>
      <c r="O1876" s="4" t="n"/>
      <c r="P1876" s="15">
        <f>IF($A1876="","",DATE(YEAR($A1876),MONTH($A1876),1))</f>
        <v/>
      </c>
      <c r="Q1876" s="16">
        <f>IF($H1876="","",$J1876*IFERROR(INDEX('Settings'!$L$10:$L$39,MATCH($H1876,'Settings'!$I$10:$I$39,0)),0))</f>
        <v/>
      </c>
      <c r="R1876" s="17">
        <f>IF($A1876="","",$A1876-WEEKDAY($A1876,2)+1)</f>
        <v/>
      </c>
    </row>
    <row r="1877">
      <c r="A1877" s="5" t="n"/>
      <c r="B1877" s="4" t="n"/>
      <c r="C1877" s="4" t="n"/>
      <c r="D1877" s="4" t="n"/>
      <c r="E1877" s="4" t="n"/>
      <c r="F1877" s="4" t="n"/>
      <c r="G1877" s="4" t="n"/>
      <c r="H1877" s="4" t="n"/>
      <c r="I1877" s="9">
        <f>IF($H1877="","",IFERROR(INDEX('Settings'!$J$10:$J$39,MATCH($H1877,'Settings'!$I$10:$I$39,0)),""))</f>
        <v/>
      </c>
      <c r="J1877" s="6" t="n"/>
      <c r="K1877" s="8" t="n"/>
      <c r="L1877" s="8" t="n"/>
      <c r="M1877" s="14">
        <f>IF($A1877="","",$J1877*$K1877)</f>
        <v/>
      </c>
      <c r="N1877" s="14">
        <f>IF($A1877="","",$M1877-$L1877)</f>
        <v/>
      </c>
      <c r="O1877" s="4" t="n"/>
      <c r="P1877" s="15">
        <f>IF($A1877="","",DATE(YEAR($A1877),MONTH($A1877),1))</f>
        <v/>
      </c>
      <c r="Q1877" s="16">
        <f>IF($H1877="","",$J1877*IFERROR(INDEX('Settings'!$L$10:$L$39,MATCH($H1877,'Settings'!$I$10:$I$39,0)),0))</f>
        <v/>
      </c>
      <c r="R1877" s="17">
        <f>IF($A1877="","",$A1877-WEEKDAY($A1877,2)+1)</f>
        <v/>
      </c>
    </row>
    <row r="1878">
      <c r="A1878" s="5" t="n"/>
      <c r="B1878" s="4" t="n"/>
      <c r="C1878" s="4" t="n"/>
      <c r="D1878" s="4" t="n"/>
      <c r="E1878" s="4" t="n"/>
      <c r="F1878" s="4" t="n"/>
      <c r="G1878" s="4" t="n"/>
      <c r="H1878" s="4" t="n"/>
      <c r="I1878" s="9">
        <f>IF($H1878="","",IFERROR(INDEX('Settings'!$J$10:$J$39,MATCH($H1878,'Settings'!$I$10:$I$39,0)),""))</f>
        <v/>
      </c>
      <c r="J1878" s="6" t="n"/>
      <c r="K1878" s="8" t="n"/>
      <c r="L1878" s="8" t="n"/>
      <c r="M1878" s="14">
        <f>IF($A1878="","",$J1878*$K1878)</f>
        <v/>
      </c>
      <c r="N1878" s="14">
        <f>IF($A1878="","",$M1878-$L1878)</f>
        <v/>
      </c>
      <c r="O1878" s="4" t="n"/>
      <c r="P1878" s="15">
        <f>IF($A1878="","",DATE(YEAR($A1878),MONTH($A1878),1))</f>
        <v/>
      </c>
      <c r="Q1878" s="16">
        <f>IF($H1878="","",$J1878*IFERROR(INDEX('Settings'!$L$10:$L$39,MATCH($H1878,'Settings'!$I$10:$I$39,0)),0))</f>
        <v/>
      </c>
      <c r="R1878" s="17">
        <f>IF($A1878="","",$A1878-WEEKDAY($A1878,2)+1)</f>
        <v/>
      </c>
    </row>
    <row r="1879">
      <c r="A1879" s="5" t="n"/>
      <c r="B1879" s="4" t="n"/>
      <c r="C1879" s="4" t="n"/>
      <c r="D1879" s="4" t="n"/>
      <c r="E1879" s="4" t="n"/>
      <c r="F1879" s="4" t="n"/>
      <c r="G1879" s="4" t="n"/>
      <c r="H1879" s="4" t="n"/>
      <c r="I1879" s="9">
        <f>IF($H1879="","",IFERROR(INDEX('Settings'!$J$10:$J$39,MATCH($H1879,'Settings'!$I$10:$I$39,0)),""))</f>
        <v/>
      </c>
      <c r="J1879" s="6" t="n"/>
      <c r="K1879" s="8" t="n"/>
      <c r="L1879" s="8" t="n"/>
      <c r="M1879" s="14">
        <f>IF($A1879="","",$J1879*$K1879)</f>
        <v/>
      </c>
      <c r="N1879" s="14">
        <f>IF($A1879="","",$M1879-$L1879)</f>
        <v/>
      </c>
      <c r="O1879" s="4" t="n"/>
      <c r="P1879" s="15">
        <f>IF($A1879="","",DATE(YEAR($A1879),MONTH($A1879),1))</f>
        <v/>
      </c>
      <c r="Q1879" s="16">
        <f>IF($H1879="","",$J1879*IFERROR(INDEX('Settings'!$L$10:$L$39,MATCH($H1879,'Settings'!$I$10:$I$39,0)),0))</f>
        <v/>
      </c>
      <c r="R1879" s="17">
        <f>IF($A1879="","",$A1879-WEEKDAY($A1879,2)+1)</f>
        <v/>
      </c>
    </row>
    <row r="1880">
      <c r="A1880" s="5" t="n"/>
      <c r="B1880" s="4" t="n"/>
      <c r="C1880" s="4" t="n"/>
      <c r="D1880" s="4" t="n"/>
      <c r="E1880" s="4" t="n"/>
      <c r="F1880" s="4" t="n"/>
      <c r="G1880" s="4" t="n"/>
      <c r="H1880" s="4" t="n"/>
      <c r="I1880" s="9">
        <f>IF($H1880="","",IFERROR(INDEX('Settings'!$J$10:$J$39,MATCH($H1880,'Settings'!$I$10:$I$39,0)),""))</f>
        <v/>
      </c>
      <c r="J1880" s="6" t="n"/>
      <c r="K1880" s="8" t="n"/>
      <c r="L1880" s="8" t="n"/>
      <c r="M1880" s="14">
        <f>IF($A1880="","",$J1880*$K1880)</f>
        <v/>
      </c>
      <c r="N1880" s="14">
        <f>IF($A1880="","",$M1880-$L1880)</f>
        <v/>
      </c>
      <c r="O1880" s="4" t="n"/>
      <c r="P1880" s="15">
        <f>IF($A1880="","",DATE(YEAR($A1880),MONTH($A1880),1))</f>
        <v/>
      </c>
      <c r="Q1880" s="16">
        <f>IF($H1880="","",$J1880*IFERROR(INDEX('Settings'!$L$10:$L$39,MATCH($H1880,'Settings'!$I$10:$I$39,0)),0))</f>
        <v/>
      </c>
      <c r="R1880" s="17">
        <f>IF($A1880="","",$A1880-WEEKDAY($A1880,2)+1)</f>
        <v/>
      </c>
    </row>
    <row r="1881">
      <c r="A1881" s="5" t="n"/>
      <c r="B1881" s="4" t="n"/>
      <c r="C1881" s="4" t="n"/>
      <c r="D1881" s="4" t="n"/>
      <c r="E1881" s="4" t="n"/>
      <c r="F1881" s="4" t="n"/>
      <c r="G1881" s="4" t="n"/>
      <c r="H1881" s="4" t="n"/>
      <c r="I1881" s="9">
        <f>IF($H1881="","",IFERROR(INDEX('Settings'!$J$10:$J$39,MATCH($H1881,'Settings'!$I$10:$I$39,0)),""))</f>
        <v/>
      </c>
      <c r="J1881" s="6" t="n"/>
      <c r="K1881" s="8" t="n"/>
      <c r="L1881" s="8" t="n"/>
      <c r="M1881" s="14">
        <f>IF($A1881="","",$J1881*$K1881)</f>
        <v/>
      </c>
      <c r="N1881" s="14">
        <f>IF($A1881="","",$M1881-$L1881)</f>
        <v/>
      </c>
      <c r="O1881" s="4" t="n"/>
      <c r="P1881" s="15">
        <f>IF($A1881="","",DATE(YEAR($A1881),MONTH($A1881),1))</f>
        <v/>
      </c>
      <c r="Q1881" s="16">
        <f>IF($H1881="","",$J1881*IFERROR(INDEX('Settings'!$L$10:$L$39,MATCH($H1881,'Settings'!$I$10:$I$39,0)),0))</f>
        <v/>
      </c>
      <c r="R1881" s="17">
        <f>IF($A1881="","",$A1881-WEEKDAY($A1881,2)+1)</f>
        <v/>
      </c>
    </row>
    <row r="1882">
      <c r="A1882" s="5" t="n"/>
      <c r="B1882" s="4" t="n"/>
      <c r="C1882" s="4" t="n"/>
      <c r="D1882" s="4" t="n"/>
      <c r="E1882" s="4" t="n"/>
      <c r="F1882" s="4" t="n"/>
      <c r="G1882" s="4" t="n"/>
      <c r="H1882" s="4" t="n"/>
      <c r="I1882" s="9">
        <f>IF($H1882="","",IFERROR(INDEX('Settings'!$J$10:$J$39,MATCH($H1882,'Settings'!$I$10:$I$39,0)),""))</f>
        <v/>
      </c>
      <c r="J1882" s="6" t="n"/>
      <c r="K1882" s="8" t="n"/>
      <c r="L1882" s="8" t="n"/>
      <c r="M1882" s="14">
        <f>IF($A1882="","",$J1882*$K1882)</f>
        <v/>
      </c>
      <c r="N1882" s="14">
        <f>IF($A1882="","",$M1882-$L1882)</f>
        <v/>
      </c>
      <c r="O1882" s="4" t="n"/>
      <c r="P1882" s="15">
        <f>IF($A1882="","",DATE(YEAR($A1882),MONTH($A1882),1))</f>
        <v/>
      </c>
      <c r="Q1882" s="16">
        <f>IF($H1882="","",$J1882*IFERROR(INDEX('Settings'!$L$10:$L$39,MATCH($H1882,'Settings'!$I$10:$I$39,0)),0))</f>
        <v/>
      </c>
      <c r="R1882" s="17">
        <f>IF($A1882="","",$A1882-WEEKDAY($A1882,2)+1)</f>
        <v/>
      </c>
    </row>
    <row r="1883">
      <c r="A1883" s="5" t="n"/>
      <c r="B1883" s="4" t="n"/>
      <c r="C1883" s="4" t="n"/>
      <c r="D1883" s="4" t="n"/>
      <c r="E1883" s="4" t="n"/>
      <c r="F1883" s="4" t="n"/>
      <c r="G1883" s="4" t="n"/>
      <c r="H1883" s="4" t="n"/>
      <c r="I1883" s="9">
        <f>IF($H1883="","",IFERROR(INDEX('Settings'!$J$10:$J$39,MATCH($H1883,'Settings'!$I$10:$I$39,0)),""))</f>
        <v/>
      </c>
      <c r="J1883" s="6" t="n"/>
      <c r="K1883" s="8" t="n"/>
      <c r="L1883" s="8" t="n"/>
      <c r="M1883" s="14">
        <f>IF($A1883="","",$J1883*$K1883)</f>
        <v/>
      </c>
      <c r="N1883" s="14">
        <f>IF($A1883="","",$M1883-$L1883)</f>
        <v/>
      </c>
      <c r="O1883" s="4" t="n"/>
      <c r="P1883" s="15">
        <f>IF($A1883="","",DATE(YEAR($A1883),MONTH($A1883),1))</f>
        <v/>
      </c>
      <c r="Q1883" s="16">
        <f>IF($H1883="","",$J1883*IFERROR(INDEX('Settings'!$L$10:$L$39,MATCH($H1883,'Settings'!$I$10:$I$39,0)),0))</f>
        <v/>
      </c>
      <c r="R1883" s="17">
        <f>IF($A1883="","",$A1883-WEEKDAY($A1883,2)+1)</f>
        <v/>
      </c>
    </row>
    <row r="1884">
      <c r="A1884" s="5" t="n"/>
      <c r="B1884" s="4" t="n"/>
      <c r="C1884" s="4" t="n"/>
      <c r="D1884" s="4" t="n"/>
      <c r="E1884" s="4" t="n"/>
      <c r="F1884" s="4" t="n"/>
      <c r="G1884" s="4" t="n"/>
      <c r="H1884" s="4" t="n"/>
      <c r="I1884" s="9">
        <f>IF($H1884="","",IFERROR(INDEX('Settings'!$J$10:$J$39,MATCH($H1884,'Settings'!$I$10:$I$39,0)),""))</f>
        <v/>
      </c>
      <c r="J1884" s="6" t="n"/>
      <c r="K1884" s="8" t="n"/>
      <c r="L1884" s="8" t="n"/>
      <c r="M1884" s="14">
        <f>IF($A1884="","",$J1884*$K1884)</f>
        <v/>
      </c>
      <c r="N1884" s="14">
        <f>IF($A1884="","",$M1884-$L1884)</f>
        <v/>
      </c>
      <c r="O1884" s="4" t="n"/>
      <c r="P1884" s="15">
        <f>IF($A1884="","",DATE(YEAR($A1884),MONTH($A1884),1))</f>
        <v/>
      </c>
      <c r="Q1884" s="16">
        <f>IF($H1884="","",$J1884*IFERROR(INDEX('Settings'!$L$10:$L$39,MATCH($H1884,'Settings'!$I$10:$I$39,0)),0))</f>
        <v/>
      </c>
      <c r="R1884" s="17">
        <f>IF($A1884="","",$A1884-WEEKDAY($A1884,2)+1)</f>
        <v/>
      </c>
    </row>
    <row r="1885">
      <c r="A1885" s="5" t="n"/>
      <c r="B1885" s="4" t="n"/>
      <c r="C1885" s="4" t="n"/>
      <c r="D1885" s="4" t="n"/>
      <c r="E1885" s="4" t="n"/>
      <c r="F1885" s="4" t="n"/>
      <c r="G1885" s="4" t="n"/>
      <c r="H1885" s="4" t="n"/>
      <c r="I1885" s="9">
        <f>IF($H1885="","",IFERROR(INDEX('Settings'!$J$10:$J$39,MATCH($H1885,'Settings'!$I$10:$I$39,0)),""))</f>
        <v/>
      </c>
      <c r="J1885" s="6" t="n"/>
      <c r="K1885" s="8" t="n"/>
      <c r="L1885" s="8" t="n"/>
      <c r="M1885" s="14">
        <f>IF($A1885="","",$J1885*$K1885)</f>
        <v/>
      </c>
      <c r="N1885" s="14">
        <f>IF($A1885="","",$M1885-$L1885)</f>
        <v/>
      </c>
      <c r="O1885" s="4" t="n"/>
      <c r="P1885" s="15">
        <f>IF($A1885="","",DATE(YEAR($A1885),MONTH($A1885),1))</f>
        <v/>
      </c>
      <c r="Q1885" s="16">
        <f>IF($H1885="","",$J1885*IFERROR(INDEX('Settings'!$L$10:$L$39,MATCH($H1885,'Settings'!$I$10:$I$39,0)),0))</f>
        <v/>
      </c>
      <c r="R1885" s="17">
        <f>IF($A1885="","",$A1885-WEEKDAY($A1885,2)+1)</f>
        <v/>
      </c>
    </row>
    <row r="1886">
      <c r="A1886" s="5" t="n"/>
      <c r="B1886" s="4" t="n"/>
      <c r="C1886" s="4" t="n"/>
      <c r="D1886" s="4" t="n"/>
      <c r="E1886" s="4" t="n"/>
      <c r="F1886" s="4" t="n"/>
      <c r="G1886" s="4" t="n"/>
      <c r="H1886" s="4" t="n"/>
      <c r="I1886" s="9">
        <f>IF($H1886="","",IFERROR(INDEX('Settings'!$J$10:$J$39,MATCH($H1886,'Settings'!$I$10:$I$39,0)),""))</f>
        <v/>
      </c>
      <c r="J1886" s="6" t="n"/>
      <c r="K1886" s="8" t="n"/>
      <c r="L1886" s="8" t="n"/>
      <c r="M1886" s="14">
        <f>IF($A1886="","",$J1886*$K1886)</f>
        <v/>
      </c>
      <c r="N1886" s="14">
        <f>IF($A1886="","",$M1886-$L1886)</f>
        <v/>
      </c>
      <c r="O1886" s="4" t="n"/>
      <c r="P1886" s="15">
        <f>IF($A1886="","",DATE(YEAR($A1886),MONTH($A1886),1))</f>
        <v/>
      </c>
      <c r="Q1886" s="16">
        <f>IF($H1886="","",$J1886*IFERROR(INDEX('Settings'!$L$10:$L$39,MATCH($H1886,'Settings'!$I$10:$I$39,0)),0))</f>
        <v/>
      </c>
      <c r="R1886" s="17">
        <f>IF($A1886="","",$A1886-WEEKDAY($A1886,2)+1)</f>
        <v/>
      </c>
    </row>
    <row r="1887">
      <c r="A1887" s="5" t="n"/>
      <c r="B1887" s="4" t="n"/>
      <c r="C1887" s="4" t="n"/>
      <c r="D1887" s="4" t="n"/>
      <c r="E1887" s="4" t="n"/>
      <c r="F1887" s="4" t="n"/>
      <c r="G1887" s="4" t="n"/>
      <c r="H1887" s="4" t="n"/>
      <c r="I1887" s="9">
        <f>IF($H1887="","",IFERROR(INDEX('Settings'!$J$10:$J$39,MATCH($H1887,'Settings'!$I$10:$I$39,0)),""))</f>
        <v/>
      </c>
      <c r="J1887" s="6" t="n"/>
      <c r="K1887" s="8" t="n"/>
      <c r="L1887" s="8" t="n"/>
      <c r="M1887" s="14">
        <f>IF($A1887="","",$J1887*$K1887)</f>
        <v/>
      </c>
      <c r="N1887" s="14">
        <f>IF($A1887="","",$M1887-$L1887)</f>
        <v/>
      </c>
      <c r="O1887" s="4" t="n"/>
      <c r="P1887" s="15">
        <f>IF($A1887="","",DATE(YEAR($A1887),MONTH($A1887),1))</f>
        <v/>
      </c>
      <c r="Q1887" s="16">
        <f>IF($H1887="","",$J1887*IFERROR(INDEX('Settings'!$L$10:$L$39,MATCH($H1887,'Settings'!$I$10:$I$39,0)),0))</f>
        <v/>
      </c>
      <c r="R1887" s="17">
        <f>IF($A1887="","",$A1887-WEEKDAY($A1887,2)+1)</f>
        <v/>
      </c>
    </row>
    <row r="1888">
      <c r="A1888" s="5" t="n"/>
      <c r="B1888" s="4" t="n"/>
      <c r="C1888" s="4" t="n"/>
      <c r="D1888" s="4" t="n"/>
      <c r="E1888" s="4" t="n"/>
      <c r="F1888" s="4" t="n"/>
      <c r="G1888" s="4" t="n"/>
      <c r="H1888" s="4" t="n"/>
      <c r="I1888" s="9">
        <f>IF($H1888="","",IFERROR(INDEX('Settings'!$J$10:$J$39,MATCH($H1888,'Settings'!$I$10:$I$39,0)),""))</f>
        <v/>
      </c>
      <c r="J1888" s="6" t="n"/>
      <c r="K1888" s="8" t="n"/>
      <c r="L1888" s="8" t="n"/>
      <c r="M1888" s="14">
        <f>IF($A1888="","",$J1888*$K1888)</f>
        <v/>
      </c>
      <c r="N1888" s="14">
        <f>IF($A1888="","",$M1888-$L1888)</f>
        <v/>
      </c>
      <c r="O1888" s="4" t="n"/>
      <c r="P1888" s="15">
        <f>IF($A1888="","",DATE(YEAR($A1888),MONTH($A1888),1))</f>
        <v/>
      </c>
      <c r="Q1888" s="16">
        <f>IF($H1888="","",$J1888*IFERROR(INDEX('Settings'!$L$10:$L$39,MATCH($H1888,'Settings'!$I$10:$I$39,0)),0))</f>
        <v/>
      </c>
      <c r="R1888" s="17">
        <f>IF($A1888="","",$A1888-WEEKDAY($A1888,2)+1)</f>
        <v/>
      </c>
    </row>
    <row r="1889">
      <c r="A1889" s="5" t="n"/>
      <c r="B1889" s="4" t="n"/>
      <c r="C1889" s="4" t="n"/>
      <c r="D1889" s="4" t="n"/>
      <c r="E1889" s="4" t="n"/>
      <c r="F1889" s="4" t="n"/>
      <c r="G1889" s="4" t="n"/>
      <c r="H1889" s="4" t="n"/>
      <c r="I1889" s="9">
        <f>IF($H1889="","",IFERROR(INDEX('Settings'!$J$10:$J$39,MATCH($H1889,'Settings'!$I$10:$I$39,0)),""))</f>
        <v/>
      </c>
      <c r="J1889" s="6" t="n"/>
      <c r="K1889" s="8" t="n"/>
      <c r="L1889" s="8" t="n"/>
      <c r="M1889" s="14">
        <f>IF($A1889="","",$J1889*$K1889)</f>
        <v/>
      </c>
      <c r="N1889" s="14">
        <f>IF($A1889="","",$M1889-$L1889)</f>
        <v/>
      </c>
      <c r="O1889" s="4" t="n"/>
      <c r="P1889" s="15">
        <f>IF($A1889="","",DATE(YEAR($A1889),MONTH($A1889),1))</f>
        <v/>
      </c>
      <c r="Q1889" s="16">
        <f>IF($H1889="","",$J1889*IFERROR(INDEX('Settings'!$L$10:$L$39,MATCH($H1889,'Settings'!$I$10:$I$39,0)),0))</f>
        <v/>
      </c>
      <c r="R1889" s="17">
        <f>IF($A1889="","",$A1889-WEEKDAY($A1889,2)+1)</f>
        <v/>
      </c>
    </row>
    <row r="1890">
      <c r="A1890" s="5" t="n"/>
      <c r="B1890" s="4" t="n"/>
      <c r="C1890" s="4" t="n"/>
      <c r="D1890" s="4" t="n"/>
      <c r="E1890" s="4" t="n"/>
      <c r="F1890" s="4" t="n"/>
      <c r="G1890" s="4" t="n"/>
      <c r="H1890" s="4" t="n"/>
      <c r="I1890" s="9">
        <f>IF($H1890="","",IFERROR(INDEX('Settings'!$J$10:$J$39,MATCH($H1890,'Settings'!$I$10:$I$39,0)),""))</f>
        <v/>
      </c>
      <c r="J1890" s="6" t="n"/>
      <c r="K1890" s="8" t="n"/>
      <c r="L1890" s="8" t="n"/>
      <c r="M1890" s="14">
        <f>IF($A1890="","",$J1890*$K1890)</f>
        <v/>
      </c>
      <c r="N1890" s="14">
        <f>IF($A1890="","",$M1890-$L1890)</f>
        <v/>
      </c>
      <c r="O1890" s="4" t="n"/>
      <c r="P1890" s="15">
        <f>IF($A1890="","",DATE(YEAR($A1890),MONTH($A1890),1))</f>
        <v/>
      </c>
      <c r="Q1890" s="16">
        <f>IF($H1890="","",$J1890*IFERROR(INDEX('Settings'!$L$10:$L$39,MATCH($H1890,'Settings'!$I$10:$I$39,0)),0))</f>
        <v/>
      </c>
      <c r="R1890" s="17">
        <f>IF($A1890="","",$A1890-WEEKDAY($A1890,2)+1)</f>
        <v/>
      </c>
    </row>
    <row r="1891">
      <c r="A1891" s="5" t="n"/>
      <c r="B1891" s="4" t="n"/>
      <c r="C1891" s="4" t="n"/>
      <c r="D1891" s="4" t="n"/>
      <c r="E1891" s="4" t="n"/>
      <c r="F1891" s="4" t="n"/>
      <c r="G1891" s="4" t="n"/>
      <c r="H1891" s="4" t="n"/>
      <c r="I1891" s="9">
        <f>IF($H1891="","",IFERROR(INDEX('Settings'!$J$10:$J$39,MATCH($H1891,'Settings'!$I$10:$I$39,0)),""))</f>
        <v/>
      </c>
      <c r="J1891" s="6" t="n"/>
      <c r="K1891" s="8" t="n"/>
      <c r="L1891" s="8" t="n"/>
      <c r="M1891" s="14">
        <f>IF($A1891="","",$J1891*$K1891)</f>
        <v/>
      </c>
      <c r="N1891" s="14">
        <f>IF($A1891="","",$M1891-$L1891)</f>
        <v/>
      </c>
      <c r="O1891" s="4" t="n"/>
      <c r="P1891" s="15">
        <f>IF($A1891="","",DATE(YEAR($A1891),MONTH($A1891),1))</f>
        <v/>
      </c>
      <c r="Q1891" s="16">
        <f>IF($H1891="","",$J1891*IFERROR(INDEX('Settings'!$L$10:$L$39,MATCH($H1891,'Settings'!$I$10:$I$39,0)),0))</f>
        <v/>
      </c>
      <c r="R1891" s="17">
        <f>IF($A1891="","",$A1891-WEEKDAY($A1891,2)+1)</f>
        <v/>
      </c>
    </row>
    <row r="1892">
      <c r="A1892" s="5" t="n"/>
      <c r="B1892" s="4" t="n"/>
      <c r="C1892" s="4" t="n"/>
      <c r="D1892" s="4" t="n"/>
      <c r="E1892" s="4" t="n"/>
      <c r="F1892" s="4" t="n"/>
      <c r="G1892" s="4" t="n"/>
      <c r="H1892" s="4" t="n"/>
      <c r="I1892" s="9">
        <f>IF($H1892="","",IFERROR(INDEX('Settings'!$J$10:$J$39,MATCH($H1892,'Settings'!$I$10:$I$39,0)),""))</f>
        <v/>
      </c>
      <c r="J1892" s="6" t="n"/>
      <c r="K1892" s="8" t="n"/>
      <c r="L1892" s="8" t="n"/>
      <c r="M1892" s="14">
        <f>IF($A1892="","",$J1892*$K1892)</f>
        <v/>
      </c>
      <c r="N1892" s="14">
        <f>IF($A1892="","",$M1892-$L1892)</f>
        <v/>
      </c>
      <c r="O1892" s="4" t="n"/>
      <c r="P1892" s="15">
        <f>IF($A1892="","",DATE(YEAR($A1892),MONTH($A1892),1))</f>
        <v/>
      </c>
      <c r="Q1892" s="16">
        <f>IF($H1892="","",$J1892*IFERROR(INDEX('Settings'!$L$10:$L$39,MATCH($H1892,'Settings'!$I$10:$I$39,0)),0))</f>
        <v/>
      </c>
      <c r="R1892" s="17">
        <f>IF($A1892="","",$A1892-WEEKDAY($A1892,2)+1)</f>
        <v/>
      </c>
    </row>
    <row r="1893">
      <c r="A1893" s="5" t="n"/>
      <c r="B1893" s="4" t="n"/>
      <c r="C1893" s="4" t="n"/>
      <c r="D1893" s="4" t="n"/>
      <c r="E1893" s="4" t="n"/>
      <c r="F1893" s="4" t="n"/>
      <c r="G1893" s="4" t="n"/>
      <c r="H1893" s="4" t="n"/>
      <c r="I1893" s="9">
        <f>IF($H1893="","",IFERROR(INDEX('Settings'!$J$10:$J$39,MATCH($H1893,'Settings'!$I$10:$I$39,0)),""))</f>
        <v/>
      </c>
      <c r="J1893" s="6" t="n"/>
      <c r="K1893" s="8" t="n"/>
      <c r="L1893" s="8" t="n"/>
      <c r="M1893" s="14">
        <f>IF($A1893="","",$J1893*$K1893)</f>
        <v/>
      </c>
      <c r="N1893" s="14">
        <f>IF($A1893="","",$M1893-$L1893)</f>
        <v/>
      </c>
      <c r="O1893" s="4" t="n"/>
      <c r="P1893" s="15">
        <f>IF($A1893="","",DATE(YEAR($A1893),MONTH($A1893),1))</f>
        <v/>
      </c>
      <c r="Q1893" s="16">
        <f>IF($H1893="","",$J1893*IFERROR(INDEX('Settings'!$L$10:$L$39,MATCH($H1893,'Settings'!$I$10:$I$39,0)),0))</f>
        <v/>
      </c>
      <c r="R1893" s="17">
        <f>IF($A1893="","",$A1893-WEEKDAY($A1893,2)+1)</f>
        <v/>
      </c>
    </row>
    <row r="1894">
      <c r="A1894" s="5" t="n"/>
      <c r="B1894" s="4" t="n"/>
      <c r="C1894" s="4" t="n"/>
      <c r="D1894" s="4" t="n"/>
      <c r="E1894" s="4" t="n"/>
      <c r="F1894" s="4" t="n"/>
      <c r="G1894" s="4" t="n"/>
      <c r="H1894" s="4" t="n"/>
      <c r="I1894" s="9">
        <f>IF($H1894="","",IFERROR(INDEX('Settings'!$J$10:$J$39,MATCH($H1894,'Settings'!$I$10:$I$39,0)),""))</f>
        <v/>
      </c>
      <c r="J1894" s="6" t="n"/>
      <c r="K1894" s="8" t="n"/>
      <c r="L1894" s="8" t="n"/>
      <c r="M1894" s="14">
        <f>IF($A1894="","",$J1894*$K1894)</f>
        <v/>
      </c>
      <c r="N1894" s="14">
        <f>IF($A1894="","",$M1894-$L1894)</f>
        <v/>
      </c>
      <c r="O1894" s="4" t="n"/>
      <c r="P1894" s="15">
        <f>IF($A1894="","",DATE(YEAR($A1894),MONTH($A1894),1))</f>
        <v/>
      </c>
      <c r="Q1894" s="16">
        <f>IF($H1894="","",$J1894*IFERROR(INDEX('Settings'!$L$10:$L$39,MATCH($H1894,'Settings'!$I$10:$I$39,0)),0))</f>
        <v/>
      </c>
      <c r="R1894" s="17">
        <f>IF($A1894="","",$A1894-WEEKDAY($A1894,2)+1)</f>
        <v/>
      </c>
    </row>
    <row r="1895">
      <c r="A1895" s="5" t="n"/>
      <c r="B1895" s="4" t="n"/>
      <c r="C1895" s="4" t="n"/>
      <c r="D1895" s="4" t="n"/>
      <c r="E1895" s="4" t="n"/>
      <c r="F1895" s="4" t="n"/>
      <c r="G1895" s="4" t="n"/>
      <c r="H1895" s="4" t="n"/>
      <c r="I1895" s="9">
        <f>IF($H1895="","",IFERROR(INDEX('Settings'!$J$10:$J$39,MATCH($H1895,'Settings'!$I$10:$I$39,0)),""))</f>
        <v/>
      </c>
      <c r="J1895" s="6" t="n"/>
      <c r="K1895" s="8" t="n"/>
      <c r="L1895" s="8" t="n"/>
      <c r="M1895" s="14">
        <f>IF($A1895="","",$J1895*$K1895)</f>
        <v/>
      </c>
      <c r="N1895" s="14">
        <f>IF($A1895="","",$M1895-$L1895)</f>
        <v/>
      </c>
      <c r="O1895" s="4" t="n"/>
      <c r="P1895" s="15">
        <f>IF($A1895="","",DATE(YEAR($A1895),MONTH($A1895),1))</f>
        <v/>
      </c>
      <c r="Q1895" s="16">
        <f>IF($H1895="","",$J1895*IFERROR(INDEX('Settings'!$L$10:$L$39,MATCH($H1895,'Settings'!$I$10:$I$39,0)),0))</f>
        <v/>
      </c>
      <c r="R1895" s="17">
        <f>IF($A1895="","",$A1895-WEEKDAY($A1895,2)+1)</f>
        <v/>
      </c>
    </row>
    <row r="1896">
      <c r="A1896" s="5" t="n"/>
      <c r="B1896" s="4" t="n"/>
      <c r="C1896" s="4" t="n"/>
      <c r="D1896" s="4" t="n"/>
      <c r="E1896" s="4" t="n"/>
      <c r="F1896" s="4" t="n"/>
      <c r="G1896" s="4" t="n"/>
      <c r="H1896" s="4" t="n"/>
      <c r="I1896" s="9">
        <f>IF($H1896="","",IFERROR(INDEX('Settings'!$J$10:$J$39,MATCH($H1896,'Settings'!$I$10:$I$39,0)),""))</f>
        <v/>
      </c>
      <c r="J1896" s="6" t="n"/>
      <c r="K1896" s="8" t="n"/>
      <c r="L1896" s="8" t="n"/>
      <c r="M1896" s="14">
        <f>IF($A1896="","",$J1896*$K1896)</f>
        <v/>
      </c>
      <c r="N1896" s="14">
        <f>IF($A1896="","",$M1896-$L1896)</f>
        <v/>
      </c>
      <c r="O1896" s="4" t="n"/>
      <c r="P1896" s="15">
        <f>IF($A1896="","",DATE(YEAR($A1896),MONTH($A1896),1))</f>
        <v/>
      </c>
      <c r="Q1896" s="16">
        <f>IF($H1896="","",$J1896*IFERROR(INDEX('Settings'!$L$10:$L$39,MATCH($H1896,'Settings'!$I$10:$I$39,0)),0))</f>
        <v/>
      </c>
      <c r="R1896" s="17">
        <f>IF($A1896="","",$A1896-WEEKDAY($A1896,2)+1)</f>
        <v/>
      </c>
    </row>
    <row r="1897">
      <c r="A1897" s="5" t="n"/>
      <c r="B1897" s="4" t="n"/>
      <c r="C1897" s="4" t="n"/>
      <c r="D1897" s="4" t="n"/>
      <c r="E1897" s="4" t="n"/>
      <c r="F1897" s="4" t="n"/>
      <c r="G1897" s="4" t="n"/>
      <c r="H1897" s="4" t="n"/>
      <c r="I1897" s="9">
        <f>IF($H1897="","",IFERROR(INDEX('Settings'!$J$10:$J$39,MATCH($H1897,'Settings'!$I$10:$I$39,0)),""))</f>
        <v/>
      </c>
      <c r="J1897" s="6" t="n"/>
      <c r="K1897" s="8" t="n"/>
      <c r="L1897" s="8" t="n"/>
      <c r="M1897" s="14">
        <f>IF($A1897="","",$J1897*$K1897)</f>
        <v/>
      </c>
      <c r="N1897" s="14">
        <f>IF($A1897="","",$M1897-$L1897)</f>
        <v/>
      </c>
      <c r="O1897" s="4" t="n"/>
      <c r="P1897" s="15">
        <f>IF($A1897="","",DATE(YEAR($A1897),MONTH($A1897),1))</f>
        <v/>
      </c>
      <c r="Q1897" s="16">
        <f>IF($H1897="","",$J1897*IFERROR(INDEX('Settings'!$L$10:$L$39,MATCH($H1897,'Settings'!$I$10:$I$39,0)),0))</f>
        <v/>
      </c>
      <c r="R1897" s="17">
        <f>IF($A1897="","",$A1897-WEEKDAY($A1897,2)+1)</f>
        <v/>
      </c>
    </row>
    <row r="1898">
      <c r="A1898" s="5" t="n"/>
      <c r="B1898" s="4" t="n"/>
      <c r="C1898" s="4" t="n"/>
      <c r="D1898" s="4" t="n"/>
      <c r="E1898" s="4" t="n"/>
      <c r="F1898" s="4" t="n"/>
      <c r="G1898" s="4" t="n"/>
      <c r="H1898" s="4" t="n"/>
      <c r="I1898" s="9">
        <f>IF($H1898="","",IFERROR(INDEX('Settings'!$J$10:$J$39,MATCH($H1898,'Settings'!$I$10:$I$39,0)),""))</f>
        <v/>
      </c>
      <c r="J1898" s="6" t="n"/>
      <c r="K1898" s="8" t="n"/>
      <c r="L1898" s="8" t="n"/>
      <c r="M1898" s="14">
        <f>IF($A1898="","",$J1898*$K1898)</f>
        <v/>
      </c>
      <c r="N1898" s="14">
        <f>IF($A1898="","",$M1898-$L1898)</f>
        <v/>
      </c>
      <c r="O1898" s="4" t="n"/>
      <c r="P1898" s="15">
        <f>IF($A1898="","",DATE(YEAR($A1898),MONTH($A1898),1))</f>
        <v/>
      </c>
      <c r="Q1898" s="16">
        <f>IF($H1898="","",$J1898*IFERROR(INDEX('Settings'!$L$10:$L$39,MATCH($H1898,'Settings'!$I$10:$I$39,0)),0))</f>
        <v/>
      </c>
      <c r="R1898" s="17">
        <f>IF($A1898="","",$A1898-WEEKDAY($A1898,2)+1)</f>
        <v/>
      </c>
    </row>
    <row r="1899">
      <c r="A1899" s="5" t="n"/>
      <c r="B1899" s="4" t="n"/>
      <c r="C1899" s="4" t="n"/>
      <c r="D1899" s="4" t="n"/>
      <c r="E1899" s="4" t="n"/>
      <c r="F1899" s="4" t="n"/>
      <c r="G1899" s="4" t="n"/>
      <c r="H1899" s="4" t="n"/>
      <c r="I1899" s="9">
        <f>IF($H1899="","",IFERROR(INDEX('Settings'!$J$10:$J$39,MATCH($H1899,'Settings'!$I$10:$I$39,0)),""))</f>
        <v/>
      </c>
      <c r="J1899" s="6" t="n"/>
      <c r="K1899" s="8" t="n"/>
      <c r="L1899" s="8" t="n"/>
      <c r="M1899" s="14">
        <f>IF($A1899="","",$J1899*$K1899)</f>
        <v/>
      </c>
      <c r="N1899" s="14">
        <f>IF($A1899="","",$M1899-$L1899)</f>
        <v/>
      </c>
      <c r="O1899" s="4" t="n"/>
      <c r="P1899" s="15">
        <f>IF($A1899="","",DATE(YEAR($A1899),MONTH($A1899),1))</f>
        <v/>
      </c>
      <c r="Q1899" s="16">
        <f>IF($H1899="","",$J1899*IFERROR(INDEX('Settings'!$L$10:$L$39,MATCH($H1899,'Settings'!$I$10:$I$39,0)),0))</f>
        <v/>
      </c>
      <c r="R1899" s="17">
        <f>IF($A1899="","",$A1899-WEEKDAY($A1899,2)+1)</f>
        <v/>
      </c>
    </row>
    <row r="1900">
      <c r="A1900" s="5" t="n"/>
      <c r="B1900" s="4" t="n"/>
      <c r="C1900" s="4" t="n"/>
      <c r="D1900" s="4" t="n"/>
      <c r="E1900" s="4" t="n"/>
      <c r="F1900" s="4" t="n"/>
      <c r="G1900" s="4" t="n"/>
      <c r="H1900" s="4" t="n"/>
      <c r="I1900" s="9">
        <f>IF($H1900="","",IFERROR(INDEX('Settings'!$J$10:$J$39,MATCH($H1900,'Settings'!$I$10:$I$39,0)),""))</f>
        <v/>
      </c>
      <c r="J1900" s="6" t="n"/>
      <c r="K1900" s="8" t="n"/>
      <c r="L1900" s="8" t="n"/>
      <c r="M1900" s="14">
        <f>IF($A1900="","",$J1900*$K1900)</f>
        <v/>
      </c>
      <c r="N1900" s="14">
        <f>IF($A1900="","",$M1900-$L1900)</f>
        <v/>
      </c>
      <c r="O1900" s="4" t="n"/>
      <c r="P1900" s="15">
        <f>IF($A1900="","",DATE(YEAR($A1900),MONTH($A1900),1))</f>
        <v/>
      </c>
      <c r="Q1900" s="16">
        <f>IF($H1900="","",$J1900*IFERROR(INDEX('Settings'!$L$10:$L$39,MATCH($H1900,'Settings'!$I$10:$I$39,0)),0))</f>
        <v/>
      </c>
      <c r="R1900" s="17">
        <f>IF($A1900="","",$A1900-WEEKDAY($A1900,2)+1)</f>
        <v/>
      </c>
    </row>
    <row r="1901">
      <c r="A1901" s="5" t="n"/>
      <c r="B1901" s="4" t="n"/>
      <c r="C1901" s="4" t="n"/>
      <c r="D1901" s="4" t="n"/>
      <c r="E1901" s="4" t="n"/>
      <c r="F1901" s="4" t="n"/>
      <c r="G1901" s="4" t="n"/>
      <c r="H1901" s="4" t="n"/>
      <c r="I1901" s="9">
        <f>IF($H1901="","",IFERROR(INDEX('Settings'!$J$10:$J$39,MATCH($H1901,'Settings'!$I$10:$I$39,0)),""))</f>
        <v/>
      </c>
      <c r="J1901" s="6" t="n"/>
      <c r="K1901" s="8" t="n"/>
      <c r="L1901" s="8" t="n"/>
      <c r="M1901" s="14">
        <f>IF($A1901="","",$J1901*$K1901)</f>
        <v/>
      </c>
      <c r="N1901" s="14">
        <f>IF($A1901="","",$M1901-$L1901)</f>
        <v/>
      </c>
      <c r="O1901" s="4" t="n"/>
      <c r="P1901" s="15">
        <f>IF($A1901="","",DATE(YEAR($A1901),MONTH($A1901),1))</f>
        <v/>
      </c>
      <c r="Q1901" s="16">
        <f>IF($H1901="","",$J1901*IFERROR(INDEX('Settings'!$L$10:$L$39,MATCH($H1901,'Settings'!$I$10:$I$39,0)),0))</f>
        <v/>
      </c>
      <c r="R1901" s="17">
        <f>IF($A1901="","",$A1901-WEEKDAY($A1901,2)+1)</f>
        <v/>
      </c>
    </row>
    <row r="1902">
      <c r="A1902" s="5" t="n"/>
      <c r="B1902" s="4" t="n"/>
      <c r="C1902" s="4" t="n"/>
      <c r="D1902" s="4" t="n"/>
      <c r="E1902" s="4" t="n"/>
      <c r="F1902" s="4" t="n"/>
      <c r="G1902" s="4" t="n"/>
      <c r="H1902" s="4" t="n"/>
      <c r="I1902" s="9">
        <f>IF($H1902="","",IFERROR(INDEX('Settings'!$J$10:$J$39,MATCH($H1902,'Settings'!$I$10:$I$39,0)),""))</f>
        <v/>
      </c>
      <c r="J1902" s="6" t="n"/>
      <c r="K1902" s="8" t="n"/>
      <c r="L1902" s="8" t="n"/>
      <c r="M1902" s="14">
        <f>IF($A1902="","",$J1902*$K1902)</f>
        <v/>
      </c>
      <c r="N1902" s="14">
        <f>IF($A1902="","",$M1902-$L1902)</f>
        <v/>
      </c>
      <c r="O1902" s="4" t="n"/>
      <c r="P1902" s="15">
        <f>IF($A1902="","",DATE(YEAR($A1902),MONTH($A1902),1))</f>
        <v/>
      </c>
      <c r="Q1902" s="16">
        <f>IF($H1902="","",$J1902*IFERROR(INDEX('Settings'!$L$10:$L$39,MATCH($H1902,'Settings'!$I$10:$I$39,0)),0))</f>
        <v/>
      </c>
      <c r="R1902" s="17">
        <f>IF($A1902="","",$A1902-WEEKDAY($A1902,2)+1)</f>
        <v/>
      </c>
    </row>
    <row r="1903">
      <c r="A1903" s="5" t="n"/>
      <c r="B1903" s="4" t="n"/>
      <c r="C1903" s="4" t="n"/>
      <c r="D1903" s="4" t="n"/>
      <c r="E1903" s="4" t="n"/>
      <c r="F1903" s="4" t="n"/>
      <c r="G1903" s="4" t="n"/>
      <c r="H1903" s="4" t="n"/>
      <c r="I1903" s="9">
        <f>IF($H1903="","",IFERROR(INDEX('Settings'!$J$10:$J$39,MATCH($H1903,'Settings'!$I$10:$I$39,0)),""))</f>
        <v/>
      </c>
      <c r="J1903" s="6" t="n"/>
      <c r="K1903" s="8" t="n"/>
      <c r="L1903" s="8" t="n"/>
      <c r="M1903" s="14">
        <f>IF($A1903="","",$J1903*$K1903)</f>
        <v/>
      </c>
      <c r="N1903" s="14">
        <f>IF($A1903="","",$M1903-$L1903)</f>
        <v/>
      </c>
      <c r="O1903" s="4" t="n"/>
      <c r="P1903" s="15">
        <f>IF($A1903="","",DATE(YEAR($A1903),MONTH($A1903),1))</f>
        <v/>
      </c>
      <c r="Q1903" s="16">
        <f>IF($H1903="","",$J1903*IFERROR(INDEX('Settings'!$L$10:$L$39,MATCH($H1903,'Settings'!$I$10:$I$39,0)),0))</f>
        <v/>
      </c>
      <c r="R1903" s="17">
        <f>IF($A1903="","",$A1903-WEEKDAY($A1903,2)+1)</f>
        <v/>
      </c>
    </row>
    <row r="1904">
      <c r="A1904" s="5" t="n"/>
      <c r="B1904" s="4" t="n"/>
      <c r="C1904" s="4" t="n"/>
      <c r="D1904" s="4" t="n"/>
      <c r="E1904" s="4" t="n"/>
      <c r="F1904" s="4" t="n"/>
      <c r="G1904" s="4" t="n"/>
      <c r="H1904" s="4" t="n"/>
      <c r="I1904" s="9">
        <f>IF($H1904="","",IFERROR(INDEX('Settings'!$J$10:$J$39,MATCH($H1904,'Settings'!$I$10:$I$39,0)),""))</f>
        <v/>
      </c>
      <c r="J1904" s="6" t="n"/>
      <c r="K1904" s="8" t="n"/>
      <c r="L1904" s="8" t="n"/>
      <c r="M1904" s="14">
        <f>IF($A1904="","",$J1904*$K1904)</f>
        <v/>
      </c>
      <c r="N1904" s="14">
        <f>IF($A1904="","",$M1904-$L1904)</f>
        <v/>
      </c>
      <c r="O1904" s="4" t="n"/>
      <c r="P1904" s="15">
        <f>IF($A1904="","",DATE(YEAR($A1904),MONTH($A1904),1))</f>
        <v/>
      </c>
      <c r="Q1904" s="16">
        <f>IF($H1904="","",$J1904*IFERROR(INDEX('Settings'!$L$10:$L$39,MATCH($H1904,'Settings'!$I$10:$I$39,0)),0))</f>
        <v/>
      </c>
      <c r="R1904" s="17">
        <f>IF($A1904="","",$A1904-WEEKDAY($A1904,2)+1)</f>
        <v/>
      </c>
    </row>
    <row r="1905">
      <c r="A1905" s="5" t="n"/>
      <c r="B1905" s="4" t="n"/>
      <c r="C1905" s="4" t="n"/>
      <c r="D1905" s="4" t="n"/>
      <c r="E1905" s="4" t="n"/>
      <c r="F1905" s="4" t="n"/>
      <c r="G1905" s="4" t="n"/>
      <c r="H1905" s="4" t="n"/>
      <c r="I1905" s="9">
        <f>IF($H1905="","",IFERROR(INDEX('Settings'!$J$10:$J$39,MATCH($H1905,'Settings'!$I$10:$I$39,0)),""))</f>
        <v/>
      </c>
      <c r="J1905" s="6" t="n"/>
      <c r="K1905" s="8" t="n"/>
      <c r="L1905" s="8" t="n"/>
      <c r="M1905" s="14">
        <f>IF($A1905="","",$J1905*$K1905)</f>
        <v/>
      </c>
      <c r="N1905" s="14">
        <f>IF($A1905="","",$M1905-$L1905)</f>
        <v/>
      </c>
      <c r="O1905" s="4" t="n"/>
      <c r="P1905" s="15">
        <f>IF($A1905="","",DATE(YEAR($A1905),MONTH($A1905),1))</f>
        <v/>
      </c>
      <c r="Q1905" s="16">
        <f>IF($H1905="","",$J1905*IFERROR(INDEX('Settings'!$L$10:$L$39,MATCH($H1905,'Settings'!$I$10:$I$39,0)),0))</f>
        <v/>
      </c>
      <c r="R1905" s="17">
        <f>IF($A1905="","",$A1905-WEEKDAY($A1905,2)+1)</f>
        <v/>
      </c>
    </row>
    <row r="1906">
      <c r="A1906" s="5" t="n"/>
      <c r="B1906" s="4" t="n"/>
      <c r="C1906" s="4" t="n"/>
      <c r="D1906" s="4" t="n"/>
      <c r="E1906" s="4" t="n"/>
      <c r="F1906" s="4" t="n"/>
      <c r="G1906" s="4" t="n"/>
      <c r="H1906" s="4" t="n"/>
      <c r="I1906" s="9">
        <f>IF($H1906="","",IFERROR(INDEX('Settings'!$J$10:$J$39,MATCH($H1906,'Settings'!$I$10:$I$39,0)),""))</f>
        <v/>
      </c>
      <c r="J1906" s="6" t="n"/>
      <c r="K1906" s="8" t="n"/>
      <c r="L1906" s="8" t="n"/>
      <c r="M1906" s="14">
        <f>IF($A1906="","",$J1906*$K1906)</f>
        <v/>
      </c>
      <c r="N1906" s="14">
        <f>IF($A1906="","",$M1906-$L1906)</f>
        <v/>
      </c>
      <c r="O1906" s="4" t="n"/>
      <c r="P1906" s="15">
        <f>IF($A1906="","",DATE(YEAR($A1906),MONTH($A1906),1))</f>
        <v/>
      </c>
      <c r="Q1906" s="16">
        <f>IF($H1906="","",$J1906*IFERROR(INDEX('Settings'!$L$10:$L$39,MATCH($H1906,'Settings'!$I$10:$I$39,0)),0))</f>
        <v/>
      </c>
      <c r="R1906" s="17">
        <f>IF($A1906="","",$A1906-WEEKDAY($A1906,2)+1)</f>
        <v/>
      </c>
    </row>
    <row r="1907">
      <c r="A1907" s="5" t="n"/>
      <c r="B1907" s="4" t="n"/>
      <c r="C1907" s="4" t="n"/>
      <c r="D1907" s="4" t="n"/>
      <c r="E1907" s="4" t="n"/>
      <c r="F1907" s="4" t="n"/>
      <c r="G1907" s="4" t="n"/>
      <c r="H1907" s="4" t="n"/>
      <c r="I1907" s="9">
        <f>IF($H1907="","",IFERROR(INDEX('Settings'!$J$10:$J$39,MATCH($H1907,'Settings'!$I$10:$I$39,0)),""))</f>
        <v/>
      </c>
      <c r="J1907" s="6" t="n"/>
      <c r="K1907" s="8" t="n"/>
      <c r="L1907" s="8" t="n"/>
      <c r="M1907" s="14">
        <f>IF($A1907="","",$J1907*$K1907)</f>
        <v/>
      </c>
      <c r="N1907" s="14">
        <f>IF($A1907="","",$M1907-$L1907)</f>
        <v/>
      </c>
      <c r="O1907" s="4" t="n"/>
      <c r="P1907" s="15">
        <f>IF($A1907="","",DATE(YEAR($A1907),MONTH($A1907),1))</f>
        <v/>
      </c>
      <c r="Q1907" s="16">
        <f>IF($H1907="","",$J1907*IFERROR(INDEX('Settings'!$L$10:$L$39,MATCH($H1907,'Settings'!$I$10:$I$39,0)),0))</f>
        <v/>
      </c>
      <c r="R1907" s="17">
        <f>IF($A1907="","",$A1907-WEEKDAY($A1907,2)+1)</f>
        <v/>
      </c>
    </row>
    <row r="1908">
      <c r="A1908" s="5" t="n"/>
      <c r="B1908" s="4" t="n"/>
      <c r="C1908" s="4" t="n"/>
      <c r="D1908" s="4" t="n"/>
      <c r="E1908" s="4" t="n"/>
      <c r="F1908" s="4" t="n"/>
      <c r="G1908" s="4" t="n"/>
      <c r="H1908" s="4" t="n"/>
      <c r="I1908" s="9">
        <f>IF($H1908="","",IFERROR(INDEX('Settings'!$J$10:$J$39,MATCH($H1908,'Settings'!$I$10:$I$39,0)),""))</f>
        <v/>
      </c>
      <c r="J1908" s="6" t="n"/>
      <c r="K1908" s="8" t="n"/>
      <c r="L1908" s="8" t="n"/>
      <c r="M1908" s="14">
        <f>IF($A1908="","",$J1908*$K1908)</f>
        <v/>
      </c>
      <c r="N1908" s="14">
        <f>IF($A1908="","",$M1908-$L1908)</f>
        <v/>
      </c>
      <c r="O1908" s="4" t="n"/>
      <c r="P1908" s="15">
        <f>IF($A1908="","",DATE(YEAR($A1908),MONTH($A1908),1))</f>
        <v/>
      </c>
      <c r="Q1908" s="16">
        <f>IF($H1908="","",$J1908*IFERROR(INDEX('Settings'!$L$10:$L$39,MATCH($H1908,'Settings'!$I$10:$I$39,0)),0))</f>
        <v/>
      </c>
      <c r="R1908" s="17">
        <f>IF($A1908="","",$A1908-WEEKDAY($A1908,2)+1)</f>
        <v/>
      </c>
    </row>
    <row r="1909">
      <c r="A1909" s="5" t="n"/>
      <c r="B1909" s="4" t="n"/>
      <c r="C1909" s="4" t="n"/>
      <c r="D1909" s="4" t="n"/>
      <c r="E1909" s="4" t="n"/>
      <c r="F1909" s="4" t="n"/>
      <c r="G1909" s="4" t="n"/>
      <c r="H1909" s="4" t="n"/>
      <c r="I1909" s="9">
        <f>IF($H1909="","",IFERROR(INDEX('Settings'!$J$10:$J$39,MATCH($H1909,'Settings'!$I$10:$I$39,0)),""))</f>
        <v/>
      </c>
      <c r="J1909" s="6" t="n"/>
      <c r="K1909" s="8" t="n"/>
      <c r="L1909" s="8" t="n"/>
      <c r="M1909" s="14">
        <f>IF($A1909="","",$J1909*$K1909)</f>
        <v/>
      </c>
      <c r="N1909" s="14">
        <f>IF($A1909="","",$M1909-$L1909)</f>
        <v/>
      </c>
      <c r="O1909" s="4" t="n"/>
      <c r="P1909" s="15">
        <f>IF($A1909="","",DATE(YEAR($A1909),MONTH($A1909),1))</f>
        <v/>
      </c>
      <c r="Q1909" s="16">
        <f>IF($H1909="","",$J1909*IFERROR(INDEX('Settings'!$L$10:$L$39,MATCH($H1909,'Settings'!$I$10:$I$39,0)),0))</f>
        <v/>
      </c>
      <c r="R1909" s="17">
        <f>IF($A1909="","",$A1909-WEEKDAY($A1909,2)+1)</f>
        <v/>
      </c>
    </row>
    <row r="1910">
      <c r="A1910" s="5" t="n"/>
      <c r="B1910" s="4" t="n"/>
      <c r="C1910" s="4" t="n"/>
      <c r="D1910" s="4" t="n"/>
      <c r="E1910" s="4" t="n"/>
      <c r="F1910" s="4" t="n"/>
      <c r="G1910" s="4" t="n"/>
      <c r="H1910" s="4" t="n"/>
      <c r="I1910" s="9">
        <f>IF($H1910="","",IFERROR(INDEX('Settings'!$J$10:$J$39,MATCH($H1910,'Settings'!$I$10:$I$39,0)),""))</f>
        <v/>
      </c>
      <c r="J1910" s="6" t="n"/>
      <c r="K1910" s="8" t="n"/>
      <c r="L1910" s="8" t="n"/>
      <c r="M1910" s="14">
        <f>IF($A1910="","",$J1910*$K1910)</f>
        <v/>
      </c>
      <c r="N1910" s="14">
        <f>IF($A1910="","",$M1910-$L1910)</f>
        <v/>
      </c>
      <c r="O1910" s="4" t="n"/>
      <c r="P1910" s="15">
        <f>IF($A1910="","",DATE(YEAR($A1910),MONTH($A1910),1))</f>
        <v/>
      </c>
      <c r="Q1910" s="16">
        <f>IF($H1910="","",$J1910*IFERROR(INDEX('Settings'!$L$10:$L$39,MATCH($H1910,'Settings'!$I$10:$I$39,0)),0))</f>
        <v/>
      </c>
      <c r="R1910" s="17">
        <f>IF($A1910="","",$A1910-WEEKDAY($A1910,2)+1)</f>
        <v/>
      </c>
    </row>
    <row r="1911">
      <c r="A1911" s="5" t="n"/>
      <c r="B1911" s="4" t="n"/>
      <c r="C1911" s="4" t="n"/>
      <c r="D1911" s="4" t="n"/>
      <c r="E1911" s="4" t="n"/>
      <c r="F1911" s="4" t="n"/>
      <c r="G1911" s="4" t="n"/>
      <c r="H1911" s="4" t="n"/>
      <c r="I1911" s="9">
        <f>IF($H1911="","",IFERROR(INDEX('Settings'!$J$10:$J$39,MATCH($H1911,'Settings'!$I$10:$I$39,0)),""))</f>
        <v/>
      </c>
      <c r="J1911" s="6" t="n"/>
      <c r="K1911" s="8" t="n"/>
      <c r="L1911" s="8" t="n"/>
      <c r="M1911" s="14">
        <f>IF($A1911="","",$J1911*$K1911)</f>
        <v/>
      </c>
      <c r="N1911" s="14">
        <f>IF($A1911="","",$M1911-$L1911)</f>
        <v/>
      </c>
      <c r="O1911" s="4" t="n"/>
      <c r="P1911" s="15">
        <f>IF($A1911="","",DATE(YEAR($A1911),MONTH($A1911),1))</f>
        <v/>
      </c>
      <c r="Q1911" s="16">
        <f>IF($H1911="","",$J1911*IFERROR(INDEX('Settings'!$L$10:$L$39,MATCH($H1911,'Settings'!$I$10:$I$39,0)),0))</f>
        <v/>
      </c>
      <c r="R1911" s="17">
        <f>IF($A1911="","",$A1911-WEEKDAY($A1911,2)+1)</f>
        <v/>
      </c>
    </row>
    <row r="1912">
      <c r="A1912" s="5" t="n"/>
      <c r="B1912" s="4" t="n"/>
      <c r="C1912" s="4" t="n"/>
      <c r="D1912" s="4" t="n"/>
      <c r="E1912" s="4" t="n"/>
      <c r="F1912" s="4" t="n"/>
      <c r="G1912" s="4" t="n"/>
      <c r="H1912" s="4" t="n"/>
      <c r="I1912" s="9">
        <f>IF($H1912="","",IFERROR(INDEX('Settings'!$J$10:$J$39,MATCH($H1912,'Settings'!$I$10:$I$39,0)),""))</f>
        <v/>
      </c>
      <c r="J1912" s="6" t="n"/>
      <c r="K1912" s="8" t="n"/>
      <c r="L1912" s="8" t="n"/>
      <c r="M1912" s="14">
        <f>IF($A1912="","",$J1912*$K1912)</f>
        <v/>
      </c>
      <c r="N1912" s="14">
        <f>IF($A1912="","",$M1912-$L1912)</f>
        <v/>
      </c>
      <c r="O1912" s="4" t="n"/>
      <c r="P1912" s="15">
        <f>IF($A1912="","",DATE(YEAR($A1912),MONTH($A1912),1))</f>
        <v/>
      </c>
      <c r="Q1912" s="16">
        <f>IF($H1912="","",$J1912*IFERROR(INDEX('Settings'!$L$10:$L$39,MATCH($H1912,'Settings'!$I$10:$I$39,0)),0))</f>
        <v/>
      </c>
      <c r="R1912" s="17">
        <f>IF($A1912="","",$A1912-WEEKDAY($A1912,2)+1)</f>
        <v/>
      </c>
    </row>
    <row r="1913">
      <c r="A1913" s="5" t="n"/>
      <c r="B1913" s="4" t="n"/>
      <c r="C1913" s="4" t="n"/>
      <c r="D1913" s="4" t="n"/>
      <c r="E1913" s="4" t="n"/>
      <c r="F1913" s="4" t="n"/>
      <c r="G1913" s="4" t="n"/>
      <c r="H1913" s="4" t="n"/>
      <c r="I1913" s="9">
        <f>IF($H1913="","",IFERROR(INDEX('Settings'!$J$10:$J$39,MATCH($H1913,'Settings'!$I$10:$I$39,0)),""))</f>
        <v/>
      </c>
      <c r="J1913" s="6" t="n"/>
      <c r="K1913" s="8" t="n"/>
      <c r="L1913" s="8" t="n"/>
      <c r="M1913" s="14">
        <f>IF($A1913="","",$J1913*$K1913)</f>
        <v/>
      </c>
      <c r="N1913" s="14">
        <f>IF($A1913="","",$M1913-$L1913)</f>
        <v/>
      </c>
      <c r="O1913" s="4" t="n"/>
      <c r="P1913" s="15">
        <f>IF($A1913="","",DATE(YEAR($A1913),MONTH($A1913),1))</f>
        <v/>
      </c>
      <c r="Q1913" s="16">
        <f>IF($H1913="","",$J1913*IFERROR(INDEX('Settings'!$L$10:$L$39,MATCH($H1913,'Settings'!$I$10:$I$39,0)),0))</f>
        <v/>
      </c>
      <c r="R1913" s="17">
        <f>IF($A1913="","",$A1913-WEEKDAY($A1913,2)+1)</f>
        <v/>
      </c>
    </row>
    <row r="1914">
      <c r="A1914" s="5" t="n"/>
      <c r="B1914" s="4" t="n"/>
      <c r="C1914" s="4" t="n"/>
      <c r="D1914" s="4" t="n"/>
      <c r="E1914" s="4" t="n"/>
      <c r="F1914" s="4" t="n"/>
      <c r="G1914" s="4" t="n"/>
      <c r="H1914" s="4" t="n"/>
      <c r="I1914" s="9">
        <f>IF($H1914="","",IFERROR(INDEX('Settings'!$J$10:$J$39,MATCH($H1914,'Settings'!$I$10:$I$39,0)),""))</f>
        <v/>
      </c>
      <c r="J1914" s="6" t="n"/>
      <c r="K1914" s="8" t="n"/>
      <c r="L1914" s="8" t="n"/>
      <c r="M1914" s="14">
        <f>IF($A1914="","",$J1914*$K1914)</f>
        <v/>
      </c>
      <c r="N1914" s="14">
        <f>IF($A1914="","",$M1914-$L1914)</f>
        <v/>
      </c>
      <c r="O1914" s="4" t="n"/>
      <c r="P1914" s="15">
        <f>IF($A1914="","",DATE(YEAR($A1914),MONTH($A1914),1))</f>
        <v/>
      </c>
      <c r="Q1914" s="16">
        <f>IF($H1914="","",$J1914*IFERROR(INDEX('Settings'!$L$10:$L$39,MATCH($H1914,'Settings'!$I$10:$I$39,0)),0))</f>
        <v/>
      </c>
      <c r="R1914" s="17">
        <f>IF($A1914="","",$A1914-WEEKDAY($A1914,2)+1)</f>
        <v/>
      </c>
    </row>
    <row r="1915">
      <c r="A1915" s="5" t="n"/>
      <c r="B1915" s="4" t="n"/>
      <c r="C1915" s="4" t="n"/>
      <c r="D1915" s="4" t="n"/>
      <c r="E1915" s="4" t="n"/>
      <c r="F1915" s="4" t="n"/>
      <c r="G1915" s="4" t="n"/>
      <c r="H1915" s="4" t="n"/>
      <c r="I1915" s="9">
        <f>IF($H1915="","",IFERROR(INDEX('Settings'!$J$10:$J$39,MATCH($H1915,'Settings'!$I$10:$I$39,0)),""))</f>
        <v/>
      </c>
      <c r="J1915" s="6" t="n"/>
      <c r="K1915" s="8" t="n"/>
      <c r="L1915" s="8" t="n"/>
      <c r="M1915" s="14">
        <f>IF($A1915="","",$J1915*$K1915)</f>
        <v/>
      </c>
      <c r="N1915" s="14">
        <f>IF($A1915="","",$M1915-$L1915)</f>
        <v/>
      </c>
      <c r="O1915" s="4" t="n"/>
      <c r="P1915" s="15">
        <f>IF($A1915="","",DATE(YEAR($A1915),MONTH($A1915),1))</f>
        <v/>
      </c>
      <c r="Q1915" s="16">
        <f>IF($H1915="","",$J1915*IFERROR(INDEX('Settings'!$L$10:$L$39,MATCH($H1915,'Settings'!$I$10:$I$39,0)),0))</f>
        <v/>
      </c>
      <c r="R1915" s="17">
        <f>IF($A1915="","",$A1915-WEEKDAY($A1915,2)+1)</f>
        <v/>
      </c>
    </row>
    <row r="1916">
      <c r="A1916" s="5" t="n"/>
      <c r="B1916" s="4" t="n"/>
      <c r="C1916" s="4" t="n"/>
      <c r="D1916" s="4" t="n"/>
      <c r="E1916" s="4" t="n"/>
      <c r="F1916" s="4" t="n"/>
      <c r="G1916" s="4" t="n"/>
      <c r="H1916" s="4" t="n"/>
      <c r="I1916" s="9">
        <f>IF($H1916="","",IFERROR(INDEX('Settings'!$J$10:$J$39,MATCH($H1916,'Settings'!$I$10:$I$39,0)),""))</f>
        <v/>
      </c>
      <c r="J1916" s="6" t="n"/>
      <c r="K1916" s="8" t="n"/>
      <c r="L1916" s="8" t="n"/>
      <c r="M1916" s="14">
        <f>IF($A1916="","",$J1916*$K1916)</f>
        <v/>
      </c>
      <c r="N1916" s="14">
        <f>IF($A1916="","",$M1916-$L1916)</f>
        <v/>
      </c>
      <c r="O1916" s="4" t="n"/>
      <c r="P1916" s="15">
        <f>IF($A1916="","",DATE(YEAR($A1916),MONTH($A1916),1))</f>
        <v/>
      </c>
      <c r="Q1916" s="16">
        <f>IF($H1916="","",$J1916*IFERROR(INDEX('Settings'!$L$10:$L$39,MATCH($H1916,'Settings'!$I$10:$I$39,0)),0))</f>
        <v/>
      </c>
      <c r="R1916" s="17">
        <f>IF($A1916="","",$A1916-WEEKDAY($A1916,2)+1)</f>
        <v/>
      </c>
    </row>
    <row r="1917">
      <c r="A1917" s="5" t="n"/>
      <c r="B1917" s="4" t="n"/>
      <c r="C1917" s="4" t="n"/>
      <c r="D1917" s="4" t="n"/>
      <c r="E1917" s="4" t="n"/>
      <c r="F1917" s="4" t="n"/>
      <c r="G1917" s="4" t="n"/>
      <c r="H1917" s="4" t="n"/>
      <c r="I1917" s="9">
        <f>IF($H1917="","",IFERROR(INDEX('Settings'!$J$10:$J$39,MATCH($H1917,'Settings'!$I$10:$I$39,0)),""))</f>
        <v/>
      </c>
      <c r="J1917" s="6" t="n"/>
      <c r="K1917" s="8" t="n"/>
      <c r="L1917" s="8" t="n"/>
      <c r="M1917" s="14">
        <f>IF($A1917="","",$J1917*$K1917)</f>
        <v/>
      </c>
      <c r="N1917" s="14">
        <f>IF($A1917="","",$M1917-$L1917)</f>
        <v/>
      </c>
      <c r="O1917" s="4" t="n"/>
      <c r="P1917" s="15">
        <f>IF($A1917="","",DATE(YEAR($A1917),MONTH($A1917),1))</f>
        <v/>
      </c>
      <c r="Q1917" s="16">
        <f>IF($H1917="","",$J1917*IFERROR(INDEX('Settings'!$L$10:$L$39,MATCH($H1917,'Settings'!$I$10:$I$39,0)),0))</f>
        <v/>
      </c>
      <c r="R1917" s="17">
        <f>IF($A1917="","",$A1917-WEEKDAY($A1917,2)+1)</f>
        <v/>
      </c>
    </row>
    <row r="1918">
      <c r="A1918" s="5" t="n"/>
      <c r="B1918" s="4" t="n"/>
      <c r="C1918" s="4" t="n"/>
      <c r="D1918" s="4" t="n"/>
      <c r="E1918" s="4" t="n"/>
      <c r="F1918" s="4" t="n"/>
      <c r="G1918" s="4" t="n"/>
      <c r="H1918" s="4" t="n"/>
      <c r="I1918" s="9">
        <f>IF($H1918="","",IFERROR(INDEX('Settings'!$J$10:$J$39,MATCH($H1918,'Settings'!$I$10:$I$39,0)),""))</f>
        <v/>
      </c>
      <c r="J1918" s="6" t="n"/>
      <c r="K1918" s="8" t="n"/>
      <c r="L1918" s="8" t="n"/>
      <c r="M1918" s="14">
        <f>IF($A1918="","",$J1918*$K1918)</f>
        <v/>
      </c>
      <c r="N1918" s="14">
        <f>IF($A1918="","",$M1918-$L1918)</f>
        <v/>
      </c>
      <c r="O1918" s="4" t="n"/>
      <c r="P1918" s="15">
        <f>IF($A1918="","",DATE(YEAR($A1918),MONTH($A1918),1))</f>
        <v/>
      </c>
      <c r="Q1918" s="16">
        <f>IF($H1918="","",$J1918*IFERROR(INDEX('Settings'!$L$10:$L$39,MATCH($H1918,'Settings'!$I$10:$I$39,0)),0))</f>
        <v/>
      </c>
      <c r="R1918" s="17">
        <f>IF($A1918="","",$A1918-WEEKDAY($A1918,2)+1)</f>
        <v/>
      </c>
    </row>
    <row r="1919">
      <c r="A1919" s="5" t="n"/>
      <c r="B1919" s="4" t="n"/>
      <c r="C1919" s="4" t="n"/>
      <c r="D1919" s="4" t="n"/>
      <c r="E1919" s="4" t="n"/>
      <c r="F1919" s="4" t="n"/>
      <c r="G1919" s="4" t="n"/>
      <c r="H1919" s="4" t="n"/>
      <c r="I1919" s="9">
        <f>IF($H1919="","",IFERROR(INDEX('Settings'!$J$10:$J$39,MATCH($H1919,'Settings'!$I$10:$I$39,0)),""))</f>
        <v/>
      </c>
      <c r="J1919" s="6" t="n"/>
      <c r="K1919" s="8" t="n"/>
      <c r="L1919" s="8" t="n"/>
      <c r="M1919" s="14">
        <f>IF($A1919="","",$J1919*$K1919)</f>
        <v/>
      </c>
      <c r="N1919" s="14">
        <f>IF($A1919="","",$M1919-$L1919)</f>
        <v/>
      </c>
      <c r="O1919" s="4" t="n"/>
      <c r="P1919" s="15">
        <f>IF($A1919="","",DATE(YEAR($A1919),MONTH($A1919),1))</f>
        <v/>
      </c>
      <c r="Q1919" s="16">
        <f>IF($H1919="","",$J1919*IFERROR(INDEX('Settings'!$L$10:$L$39,MATCH($H1919,'Settings'!$I$10:$I$39,0)),0))</f>
        <v/>
      </c>
      <c r="R1919" s="17">
        <f>IF($A1919="","",$A1919-WEEKDAY($A1919,2)+1)</f>
        <v/>
      </c>
    </row>
    <row r="1920">
      <c r="A1920" s="5" t="n"/>
      <c r="B1920" s="4" t="n"/>
      <c r="C1920" s="4" t="n"/>
      <c r="D1920" s="4" t="n"/>
      <c r="E1920" s="4" t="n"/>
      <c r="F1920" s="4" t="n"/>
      <c r="G1920" s="4" t="n"/>
      <c r="H1920" s="4" t="n"/>
      <c r="I1920" s="9">
        <f>IF($H1920="","",IFERROR(INDEX('Settings'!$J$10:$J$39,MATCH($H1920,'Settings'!$I$10:$I$39,0)),""))</f>
        <v/>
      </c>
      <c r="J1920" s="6" t="n"/>
      <c r="K1920" s="8" t="n"/>
      <c r="L1920" s="8" t="n"/>
      <c r="M1920" s="14">
        <f>IF($A1920="","",$J1920*$K1920)</f>
        <v/>
      </c>
      <c r="N1920" s="14">
        <f>IF($A1920="","",$M1920-$L1920)</f>
        <v/>
      </c>
      <c r="O1920" s="4" t="n"/>
      <c r="P1920" s="15">
        <f>IF($A1920="","",DATE(YEAR($A1920),MONTH($A1920),1))</f>
        <v/>
      </c>
      <c r="Q1920" s="16">
        <f>IF($H1920="","",$J1920*IFERROR(INDEX('Settings'!$L$10:$L$39,MATCH($H1920,'Settings'!$I$10:$I$39,0)),0))</f>
        <v/>
      </c>
      <c r="R1920" s="17">
        <f>IF($A1920="","",$A1920-WEEKDAY($A1920,2)+1)</f>
        <v/>
      </c>
    </row>
    <row r="1921">
      <c r="A1921" s="5" t="n"/>
      <c r="B1921" s="4" t="n"/>
      <c r="C1921" s="4" t="n"/>
      <c r="D1921" s="4" t="n"/>
      <c r="E1921" s="4" t="n"/>
      <c r="F1921" s="4" t="n"/>
      <c r="G1921" s="4" t="n"/>
      <c r="H1921" s="4" t="n"/>
      <c r="I1921" s="9">
        <f>IF($H1921="","",IFERROR(INDEX('Settings'!$J$10:$J$39,MATCH($H1921,'Settings'!$I$10:$I$39,0)),""))</f>
        <v/>
      </c>
      <c r="J1921" s="6" t="n"/>
      <c r="K1921" s="8" t="n"/>
      <c r="L1921" s="8" t="n"/>
      <c r="M1921" s="14">
        <f>IF($A1921="","",$J1921*$K1921)</f>
        <v/>
      </c>
      <c r="N1921" s="14">
        <f>IF($A1921="","",$M1921-$L1921)</f>
        <v/>
      </c>
      <c r="O1921" s="4" t="n"/>
      <c r="P1921" s="15">
        <f>IF($A1921="","",DATE(YEAR($A1921),MONTH($A1921),1))</f>
        <v/>
      </c>
      <c r="Q1921" s="16">
        <f>IF($H1921="","",$J1921*IFERROR(INDEX('Settings'!$L$10:$L$39,MATCH($H1921,'Settings'!$I$10:$I$39,0)),0))</f>
        <v/>
      </c>
      <c r="R1921" s="17">
        <f>IF($A1921="","",$A1921-WEEKDAY($A1921,2)+1)</f>
        <v/>
      </c>
    </row>
    <row r="1922">
      <c r="A1922" s="5" t="n"/>
      <c r="B1922" s="4" t="n"/>
      <c r="C1922" s="4" t="n"/>
      <c r="D1922" s="4" t="n"/>
      <c r="E1922" s="4" t="n"/>
      <c r="F1922" s="4" t="n"/>
      <c r="G1922" s="4" t="n"/>
      <c r="H1922" s="4" t="n"/>
      <c r="I1922" s="9">
        <f>IF($H1922="","",IFERROR(INDEX('Settings'!$J$10:$J$39,MATCH($H1922,'Settings'!$I$10:$I$39,0)),""))</f>
        <v/>
      </c>
      <c r="J1922" s="6" t="n"/>
      <c r="K1922" s="8" t="n"/>
      <c r="L1922" s="8" t="n"/>
      <c r="M1922" s="14">
        <f>IF($A1922="","",$J1922*$K1922)</f>
        <v/>
      </c>
      <c r="N1922" s="14">
        <f>IF($A1922="","",$M1922-$L1922)</f>
        <v/>
      </c>
      <c r="O1922" s="4" t="n"/>
      <c r="P1922" s="15">
        <f>IF($A1922="","",DATE(YEAR($A1922),MONTH($A1922),1))</f>
        <v/>
      </c>
      <c r="Q1922" s="16">
        <f>IF($H1922="","",$J1922*IFERROR(INDEX('Settings'!$L$10:$L$39,MATCH($H1922,'Settings'!$I$10:$I$39,0)),0))</f>
        <v/>
      </c>
      <c r="R1922" s="17">
        <f>IF($A1922="","",$A1922-WEEKDAY($A1922,2)+1)</f>
        <v/>
      </c>
    </row>
    <row r="1923">
      <c r="A1923" s="5" t="n"/>
      <c r="B1923" s="4" t="n"/>
      <c r="C1923" s="4" t="n"/>
      <c r="D1923" s="4" t="n"/>
      <c r="E1923" s="4" t="n"/>
      <c r="F1923" s="4" t="n"/>
      <c r="G1923" s="4" t="n"/>
      <c r="H1923" s="4" t="n"/>
      <c r="I1923" s="9">
        <f>IF($H1923="","",IFERROR(INDEX('Settings'!$J$10:$J$39,MATCH($H1923,'Settings'!$I$10:$I$39,0)),""))</f>
        <v/>
      </c>
      <c r="J1923" s="6" t="n"/>
      <c r="K1923" s="8" t="n"/>
      <c r="L1923" s="8" t="n"/>
      <c r="M1923" s="14">
        <f>IF($A1923="","",$J1923*$K1923)</f>
        <v/>
      </c>
      <c r="N1923" s="14">
        <f>IF($A1923="","",$M1923-$L1923)</f>
        <v/>
      </c>
      <c r="O1923" s="4" t="n"/>
      <c r="P1923" s="15">
        <f>IF($A1923="","",DATE(YEAR($A1923),MONTH($A1923),1))</f>
        <v/>
      </c>
      <c r="Q1923" s="16">
        <f>IF($H1923="","",$J1923*IFERROR(INDEX('Settings'!$L$10:$L$39,MATCH($H1923,'Settings'!$I$10:$I$39,0)),0))</f>
        <v/>
      </c>
      <c r="R1923" s="17">
        <f>IF($A1923="","",$A1923-WEEKDAY($A1923,2)+1)</f>
        <v/>
      </c>
    </row>
    <row r="1924">
      <c r="A1924" s="5" t="n"/>
      <c r="B1924" s="4" t="n"/>
      <c r="C1924" s="4" t="n"/>
      <c r="D1924" s="4" t="n"/>
      <c r="E1924" s="4" t="n"/>
      <c r="F1924" s="4" t="n"/>
      <c r="G1924" s="4" t="n"/>
      <c r="H1924" s="4" t="n"/>
      <c r="I1924" s="9">
        <f>IF($H1924="","",IFERROR(INDEX('Settings'!$J$10:$J$39,MATCH($H1924,'Settings'!$I$10:$I$39,0)),""))</f>
        <v/>
      </c>
      <c r="J1924" s="6" t="n"/>
      <c r="K1924" s="8" t="n"/>
      <c r="L1924" s="8" t="n"/>
      <c r="M1924" s="14">
        <f>IF($A1924="","",$J1924*$K1924)</f>
        <v/>
      </c>
      <c r="N1924" s="14">
        <f>IF($A1924="","",$M1924-$L1924)</f>
        <v/>
      </c>
      <c r="O1924" s="4" t="n"/>
      <c r="P1924" s="15">
        <f>IF($A1924="","",DATE(YEAR($A1924),MONTH($A1924),1))</f>
        <v/>
      </c>
      <c r="Q1924" s="16">
        <f>IF($H1924="","",$J1924*IFERROR(INDEX('Settings'!$L$10:$L$39,MATCH($H1924,'Settings'!$I$10:$I$39,0)),0))</f>
        <v/>
      </c>
      <c r="R1924" s="17">
        <f>IF($A1924="","",$A1924-WEEKDAY($A1924,2)+1)</f>
        <v/>
      </c>
    </row>
    <row r="1925">
      <c r="A1925" s="5" t="n"/>
      <c r="B1925" s="4" t="n"/>
      <c r="C1925" s="4" t="n"/>
      <c r="D1925" s="4" t="n"/>
      <c r="E1925" s="4" t="n"/>
      <c r="F1925" s="4" t="n"/>
      <c r="G1925" s="4" t="n"/>
      <c r="H1925" s="4" t="n"/>
      <c r="I1925" s="9">
        <f>IF($H1925="","",IFERROR(INDEX('Settings'!$J$10:$J$39,MATCH($H1925,'Settings'!$I$10:$I$39,0)),""))</f>
        <v/>
      </c>
      <c r="J1925" s="6" t="n"/>
      <c r="K1925" s="8" t="n"/>
      <c r="L1925" s="8" t="n"/>
      <c r="M1925" s="14">
        <f>IF($A1925="","",$J1925*$K1925)</f>
        <v/>
      </c>
      <c r="N1925" s="14">
        <f>IF($A1925="","",$M1925-$L1925)</f>
        <v/>
      </c>
      <c r="O1925" s="4" t="n"/>
      <c r="P1925" s="15">
        <f>IF($A1925="","",DATE(YEAR($A1925),MONTH($A1925),1))</f>
        <v/>
      </c>
      <c r="Q1925" s="16">
        <f>IF($H1925="","",$J1925*IFERROR(INDEX('Settings'!$L$10:$L$39,MATCH($H1925,'Settings'!$I$10:$I$39,0)),0))</f>
        <v/>
      </c>
      <c r="R1925" s="17">
        <f>IF($A1925="","",$A1925-WEEKDAY($A1925,2)+1)</f>
        <v/>
      </c>
    </row>
    <row r="1926">
      <c r="A1926" s="5" t="n"/>
      <c r="B1926" s="4" t="n"/>
      <c r="C1926" s="4" t="n"/>
      <c r="D1926" s="4" t="n"/>
      <c r="E1926" s="4" t="n"/>
      <c r="F1926" s="4" t="n"/>
      <c r="G1926" s="4" t="n"/>
      <c r="H1926" s="4" t="n"/>
      <c r="I1926" s="9">
        <f>IF($H1926="","",IFERROR(INDEX('Settings'!$J$10:$J$39,MATCH($H1926,'Settings'!$I$10:$I$39,0)),""))</f>
        <v/>
      </c>
      <c r="J1926" s="6" t="n"/>
      <c r="K1926" s="8" t="n"/>
      <c r="L1926" s="8" t="n"/>
      <c r="M1926" s="14">
        <f>IF($A1926="","",$J1926*$K1926)</f>
        <v/>
      </c>
      <c r="N1926" s="14">
        <f>IF($A1926="","",$M1926-$L1926)</f>
        <v/>
      </c>
      <c r="O1926" s="4" t="n"/>
      <c r="P1926" s="15">
        <f>IF($A1926="","",DATE(YEAR($A1926),MONTH($A1926),1))</f>
        <v/>
      </c>
      <c r="Q1926" s="16">
        <f>IF($H1926="","",$J1926*IFERROR(INDEX('Settings'!$L$10:$L$39,MATCH($H1926,'Settings'!$I$10:$I$39,0)),0))</f>
        <v/>
      </c>
      <c r="R1926" s="17">
        <f>IF($A1926="","",$A1926-WEEKDAY($A1926,2)+1)</f>
        <v/>
      </c>
    </row>
    <row r="1927">
      <c r="A1927" s="5" t="n"/>
      <c r="B1927" s="4" t="n"/>
      <c r="C1927" s="4" t="n"/>
      <c r="D1927" s="4" t="n"/>
      <c r="E1927" s="4" t="n"/>
      <c r="F1927" s="4" t="n"/>
      <c r="G1927" s="4" t="n"/>
      <c r="H1927" s="4" t="n"/>
      <c r="I1927" s="9">
        <f>IF($H1927="","",IFERROR(INDEX('Settings'!$J$10:$J$39,MATCH($H1927,'Settings'!$I$10:$I$39,0)),""))</f>
        <v/>
      </c>
      <c r="J1927" s="6" t="n"/>
      <c r="K1927" s="8" t="n"/>
      <c r="L1927" s="8" t="n"/>
      <c r="M1927" s="14">
        <f>IF($A1927="","",$J1927*$K1927)</f>
        <v/>
      </c>
      <c r="N1927" s="14">
        <f>IF($A1927="","",$M1927-$L1927)</f>
        <v/>
      </c>
      <c r="O1927" s="4" t="n"/>
      <c r="P1927" s="15">
        <f>IF($A1927="","",DATE(YEAR($A1927),MONTH($A1927),1))</f>
        <v/>
      </c>
      <c r="Q1927" s="16">
        <f>IF($H1927="","",$J1927*IFERROR(INDEX('Settings'!$L$10:$L$39,MATCH($H1927,'Settings'!$I$10:$I$39,0)),0))</f>
        <v/>
      </c>
      <c r="R1927" s="17">
        <f>IF($A1927="","",$A1927-WEEKDAY($A1927,2)+1)</f>
        <v/>
      </c>
    </row>
    <row r="1928">
      <c r="A1928" s="5" t="n"/>
      <c r="B1928" s="4" t="n"/>
      <c r="C1928" s="4" t="n"/>
      <c r="D1928" s="4" t="n"/>
      <c r="E1928" s="4" t="n"/>
      <c r="F1928" s="4" t="n"/>
      <c r="G1928" s="4" t="n"/>
      <c r="H1928" s="4" t="n"/>
      <c r="I1928" s="9">
        <f>IF($H1928="","",IFERROR(INDEX('Settings'!$J$10:$J$39,MATCH($H1928,'Settings'!$I$10:$I$39,0)),""))</f>
        <v/>
      </c>
      <c r="J1928" s="6" t="n"/>
      <c r="K1928" s="8" t="n"/>
      <c r="L1928" s="8" t="n"/>
      <c r="M1928" s="14">
        <f>IF($A1928="","",$J1928*$K1928)</f>
        <v/>
      </c>
      <c r="N1928" s="14">
        <f>IF($A1928="","",$M1928-$L1928)</f>
        <v/>
      </c>
      <c r="O1928" s="4" t="n"/>
      <c r="P1928" s="15">
        <f>IF($A1928="","",DATE(YEAR($A1928),MONTH($A1928),1))</f>
        <v/>
      </c>
      <c r="Q1928" s="16">
        <f>IF($H1928="","",$J1928*IFERROR(INDEX('Settings'!$L$10:$L$39,MATCH($H1928,'Settings'!$I$10:$I$39,0)),0))</f>
        <v/>
      </c>
      <c r="R1928" s="17">
        <f>IF($A1928="","",$A1928-WEEKDAY($A1928,2)+1)</f>
        <v/>
      </c>
    </row>
    <row r="1929">
      <c r="A1929" s="5" t="n"/>
      <c r="B1929" s="4" t="n"/>
      <c r="C1929" s="4" t="n"/>
      <c r="D1929" s="4" t="n"/>
      <c r="E1929" s="4" t="n"/>
      <c r="F1929" s="4" t="n"/>
      <c r="G1929" s="4" t="n"/>
      <c r="H1929" s="4" t="n"/>
      <c r="I1929" s="9">
        <f>IF($H1929="","",IFERROR(INDEX('Settings'!$J$10:$J$39,MATCH($H1929,'Settings'!$I$10:$I$39,0)),""))</f>
        <v/>
      </c>
      <c r="J1929" s="6" t="n"/>
      <c r="K1929" s="8" t="n"/>
      <c r="L1929" s="8" t="n"/>
      <c r="M1929" s="14">
        <f>IF($A1929="","",$J1929*$K1929)</f>
        <v/>
      </c>
      <c r="N1929" s="14">
        <f>IF($A1929="","",$M1929-$L1929)</f>
        <v/>
      </c>
      <c r="O1929" s="4" t="n"/>
      <c r="P1929" s="15">
        <f>IF($A1929="","",DATE(YEAR($A1929),MONTH($A1929),1))</f>
        <v/>
      </c>
      <c r="Q1929" s="16">
        <f>IF($H1929="","",$J1929*IFERROR(INDEX('Settings'!$L$10:$L$39,MATCH($H1929,'Settings'!$I$10:$I$39,0)),0))</f>
        <v/>
      </c>
      <c r="R1929" s="17">
        <f>IF($A1929="","",$A1929-WEEKDAY($A1929,2)+1)</f>
        <v/>
      </c>
    </row>
    <row r="1930">
      <c r="A1930" s="5" t="n"/>
      <c r="B1930" s="4" t="n"/>
      <c r="C1930" s="4" t="n"/>
      <c r="D1930" s="4" t="n"/>
      <c r="E1930" s="4" t="n"/>
      <c r="F1930" s="4" t="n"/>
      <c r="G1930" s="4" t="n"/>
      <c r="H1930" s="4" t="n"/>
      <c r="I1930" s="9">
        <f>IF($H1930="","",IFERROR(INDEX('Settings'!$J$10:$J$39,MATCH($H1930,'Settings'!$I$10:$I$39,0)),""))</f>
        <v/>
      </c>
      <c r="J1930" s="6" t="n"/>
      <c r="K1930" s="8" t="n"/>
      <c r="L1930" s="8" t="n"/>
      <c r="M1930" s="14">
        <f>IF($A1930="","",$J1930*$K1930)</f>
        <v/>
      </c>
      <c r="N1930" s="14">
        <f>IF($A1930="","",$M1930-$L1930)</f>
        <v/>
      </c>
      <c r="O1930" s="4" t="n"/>
      <c r="P1930" s="15">
        <f>IF($A1930="","",DATE(YEAR($A1930),MONTH($A1930),1))</f>
        <v/>
      </c>
      <c r="Q1930" s="16">
        <f>IF($H1930="","",$J1930*IFERROR(INDEX('Settings'!$L$10:$L$39,MATCH($H1930,'Settings'!$I$10:$I$39,0)),0))</f>
        <v/>
      </c>
      <c r="R1930" s="17">
        <f>IF($A1930="","",$A1930-WEEKDAY($A1930,2)+1)</f>
        <v/>
      </c>
    </row>
    <row r="1931">
      <c r="A1931" s="5" t="n"/>
      <c r="B1931" s="4" t="n"/>
      <c r="C1931" s="4" t="n"/>
      <c r="D1931" s="4" t="n"/>
      <c r="E1931" s="4" t="n"/>
      <c r="F1931" s="4" t="n"/>
      <c r="G1931" s="4" t="n"/>
      <c r="H1931" s="4" t="n"/>
      <c r="I1931" s="9">
        <f>IF($H1931="","",IFERROR(INDEX('Settings'!$J$10:$J$39,MATCH($H1931,'Settings'!$I$10:$I$39,0)),""))</f>
        <v/>
      </c>
      <c r="J1931" s="6" t="n"/>
      <c r="K1931" s="8" t="n"/>
      <c r="L1931" s="8" t="n"/>
      <c r="M1931" s="14">
        <f>IF($A1931="","",$J1931*$K1931)</f>
        <v/>
      </c>
      <c r="N1931" s="14">
        <f>IF($A1931="","",$M1931-$L1931)</f>
        <v/>
      </c>
      <c r="O1931" s="4" t="n"/>
      <c r="P1931" s="15">
        <f>IF($A1931="","",DATE(YEAR($A1931),MONTH($A1931),1))</f>
        <v/>
      </c>
      <c r="Q1931" s="16">
        <f>IF($H1931="","",$J1931*IFERROR(INDEX('Settings'!$L$10:$L$39,MATCH($H1931,'Settings'!$I$10:$I$39,0)),0))</f>
        <v/>
      </c>
      <c r="R1931" s="17">
        <f>IF($A1931="","",$A1931-WEEKDAY($A1931,2)+1)</f>
        <v/>
      </c>
    </row>
    <row r="1932">
      <c r="A1932" s="5" t="n"/>
      <c r="B1932" s="4" t="n"/>
      <c r="C1932" s="4" t="n"/>
      <c r="D1932" s="4" t="n"/>
      <c r="E1932" s="4" t="n"/>
      <c r="F1932" s="4" t="n"/>
      <c r="G1932" s="4" t="n"/>
      <c r="H1932" s="4" t="n"/>
      <c r="I1932" s="9">
        <f>IF($H1932="","",IFERROR(INDEX('Settings'!$J$10:$J$39,MATCH($H1932,'Settings'!$I$10:$I$39,0)),""))</f>
        <v/>
      </c>
      <c r="J1932" s="6" t="n"/>
      <c r="K1932" s="8" t="n"/>
      <c r="L1932" s="8" t="n"/>
      <c r="M1932" s="14">
        <f>IF($A1932="","",$J1932*$K1932)</f>
        <v/>
      </c>
      <c r="N1932" s="14">
        <f>IF($A1932="","",$M1932-$L1932)</f>
        <v/>
      </c>
      <c r="O1932" s="4" t="n"/>
      <c r="P1932" s="15">
        <f>IF($A1932="","",DATE(YEAR($A1932),MONTH($A1932),1))</f>
        <v/>
      </c>
      <c r="Q1932" s="16">
        <f>IF($H1932="","",$J1932*IFERROR(INDEX('Settings'!$L$10:$L$39,MATCH($H1932,'Settings'!$I$10:$I$39,0)),0))</f>
        <v/>
      </c>
      <c r="R1932" s="17">
        <f>IF($A1932="","",$A1932-WEEKDAY($A1932,2)+1)</f>
        <v/>
      </c>
    </row>
    <row r="1933">
      <c r="A1933" s="5" t="n"/>
      <c r="B1933" s="4" t="n"/>
      <c r="C1933" s="4" t="n"/>
      <c r="D1933" s="4" t="n"/>
      <c r="E1933" s="4" t="n"/>
      <c r="F1933" s="4" t="n"/>
      <c r="G1933" s="4" t="n"/>
      <c r="H1933" s="4" t="n"/>
      <c r="I1933" s="9">
        <f>IF($H1933="","",IFERROR(INDEX('Settings'!$J$10:$J$39,MATCH($H1933,'Settings'!$I$10:$I$39,0)),""))</f>
        <v/>
      </c>
      <c r="J1933" s="6" t="n"/>
      <c r="K1933" s="8" t="n"/>
      <c r="L1933" s="8" t="n"/>
      <c r="M1933" s="14">
        <f>IF($A1933="","",$J1933*$K1933)</f>
        <v/>
      </c>
      <c r="N1933" s="14">
        <f>IF($A1933="","",$M1933-$L1933)</f>
        <v/>
      </c>
      <c r="O1933" s="4" t="n"/>
      <c r="P1933" s="15">
        <f>IF($A1933="","",DATE(YEAR($A1933),MONTH($A1933),1))</f>
        <v/>
      </c>
      <c r="Q1933" s="16">
        <f>IF($H1933="","",$J1933*IFERROR(INDEX('Settings'!$L$10:$L$39,MATCH($H1933,'Settings'!$I$10:$I$39,0)),0))</f>
        <v/>
      </c>
      <c r="R1933" s="17">
        <f>IF($A1933="","",$A1933-WEEKDAY($A1933,2)+1)</f>
        <v/>
      </c>
    </row>
    <row r="1934">
      <c r="A1934" s="5" t="n"/>
      <c r="B1934" s="4" t="n"/>
      <c r="C1934" s="4" t="n"/>
      <c r="D1934" s="4" t="n"/>
      <c r="E1934" s="4" t="n"/>
      <c r="F1934" s="4" t="n"/>
      <c r="G1934" s="4" t="n"/>
      <c r="H1934" s="4" t="n"/>
      <c r="I1934" s="9">
        <f>IF($H1934="","",IFERROR(INDEX('Settings'!$J$10:$J$39,MATCH($H1934,'Settings'!$I$10:$I$39,0)),""))</f>
        <v/>
      </c>
      <c r="J1934" s="6" t="n"/>
      <c r="K1934" s="8" t="n"/>
      <c r="L1934" s="8" t="n"/>
      <c r="M1934" s="14">
        <f>IF($A1934="","",$J1934*$K1934)</f>
        <v/>
      </c>
      <c r="N1934" s="14">
        <f>IF($A1934="","",$M1934-$L1934)</f>
        <v/>
      </c>
      <c r="O1934" s="4" t="n"/>
      <c r="P1934" s="15">
        <f>IF($A1934="","",DATE(YEAR($A1934),MONTH($A1934),1))</f>
        <v/>
      </c>
      <c r="Q1934" s="16">
        <f>IF($H1934="","",$J1934*IFERROR(INDEX('Settings'!$L$10:$L$39,MATCH($H1934,'Settings'!$I$10:$I$39,0)),0))</f>
        <v/>
      </c>
      <c r="R1934" s="17">
        <f>IF($A1934="","",$A1934-WEEKDAY($A1934,2)+1)</f>
        <v/>
      </c>
    </row>
    <row r="1935">
      <c r="A1935" s="5" t="n"/>
      <c r="B1935" s="4" t="n"/>
      <c r="C1935" s="4" t="n"/>
      <c r="D1935" s="4" t="n"/>
      <c r="E1935" s="4" t="n"/>
      <c r="F1935" s="4" t="n"/>
      <c r="G1935" s="4" t="n"/>
      <c r="H1935" s="4" t="n"/>
      <c r="I1935" s="9">
        <f>IF($H1935="","",IFERROR(INDEX('Settings'!$J$10:$J$39,MATCH($H1935,'Settings'!$I$10:$I$39,0)),""))</f>
        <v/>
      </c>
      <c r="J1935" s="6" t="n"/>
      <c r="K1935" s="8" t="n"/>
      <c r="L1935" s="8" t="n"/>
      <c r="M1935" s="14">
        <f>IF($A1935="","",$J1935*$K1935)</f>
        <v/>
      </c>
      <c r="N1935" s="14">
        <f>IF($A1935="","",$M1935-$L1935)</f>
        <v/>
      </c>
      <c r="O1935" s="4" t="n"/>
      <c r="P1935" s="15">
        <f>IF($A1935="","",DATE(YEAR($A1935),MONTH($A1935),1))</f>
        <v/>
      </c>
      <c r="Q1935" s="16">
        <f>IF($H1935="","",$J1935*IFERROR(INDEX('Settings'!$L$10:$L$39,MATCH($H1935,'Settings'!$I$10:$I$39,0)),0))</f>
        <v/>
      </c>
      <c r="R1935" s="17">
        <f>IF($A1935="","",$A1935-WEEKDAY($A1935,2)+1)</f>
        <v/>
      </c>
    </row>
    <row r="1936">
      <c r="A1936" s="5" t="n"/>
      <c r="B1936" s="4" t="n"/>
      <c r="C1936" s="4" t="n"/>
      <c r="D1936" s="4" t="n"/>
      <c r="E1936" s="4" t="n"/>
      <c r="F1936" s="4" t="n"/>
      <c r="G1936" s="4" t="n"/>
      <c r="H1936" s="4" t="n"/>
      <c r="I1936" s="9">
        <f>IF($H1936="","",IFERROR(INDEX('Settings'!$J$10:$J$39,MATCH($H1936,'Settings'!$I$10:$I$39,0)),""))</f>
        <v/>
      </c>
      <c r="J1936" s="6" t="n"/>
      <c r="K1936" s="8" t="n"/>
      <c r="L1936" s="8" t="n"/>
      <c r="M1936" s="14">
        <f>IF($A1936="","",$J1936*$K1936)</f>
        <v/>
      </c>
      <c r="N1936" s="14">
        <f>IF($A1936="","",$M1936-$L1936)</f>
        <v/>
      </c>
      <c r="O1936" s="4" t="n"/>
      <c r="P1936" s="15">
        <f>IF($A1936="","",DATE(YEAR($A1936),MONTH($A1936),1))</f>
        <v/>
      </c>
      <c r="Q1936" s="16">
        <f>IF($H1936="","",$J1936*IFERROR(INDEX('Settings'!$L$10:$L$39,MATCH($H1936,'Settings'!$I$10:$I$39,0)),0))</f>
        <v/>
      </c>
      <c r="R1936" s="17">
        <f>IF($A1936="","",$A1936-WEEKDAY($A1936,2)+1)</f>
        <v/>
      </c>
    </row>
    <row r="1937">
      <c r="A1937" s="5" t="n"/>
      <c r="B1937" s="4" t="n"/>
      <c r="C1937" s="4" t="n"/>
      <c r="D1937" s="4" t="n"/>
      <c r="E1937" s="4" t="n"/>
      <c r="F1937" s="4" t="n"/>
      <c r="G1937" s="4" t="n"/>
      <c r="H1937" s="4" t="n"/>
      <c r="I1937" s="9">
        <f>IF($H1937="","",IFERROR(INDEX('Settings'!$J$10:$J$39,MATCH($H1937,'Settings'!$I$10:$I$39,0)),""))</f>
        <v/>
      </c>
      <c r="J1937" s="6" t="n"/>
      <c r="K1937" s="8" t="n"/>
      <c r="L1937" s="8" t="n"/>
      <c r="M1937" s="14">
        <f>IF($A1937="","",$J1937*$K1937)</f>
        <v/>
      </c>
      <c r="N1937" s="14">
        <f>IF($A1937="","",$M1937-$L1937)</f>
        <v/>
      </c>
      <c r="O1937" s="4" t="n"/>
      <c r="P1937" s="15">
        <f>IF($A1937="","",DATE(YEAR($A1937),MONTH($A1937),1))</f>
        <v/>
      </c>
      <c r="Q1937" s="16">
        <f>IF($H1937="","",$J1937*IFERROR(INDEX('Settings'!$L$10:$L$39,MATCH($H1937,'Settings'!$I$10:$I$39,0)),0))</f>
        <v/>
      </c>
      <c r="R1937" s="17">
        <f>IF($A1937="","",$A1937-WEEKDAY($A1937,2)+1)</f>
        <v/>
      </c>
    </row>
    <row r="1938">
      <c r="A1938" s="5" t="n"/>
      <c r="B1938" s="4" t="n"/>
      <c r="C1938" s="4" t="n"/>
      <c r="D1938" s="4" t="n"/>
      <c r="E1938" s="4" t="n"/>
      <c r="F1938" s="4" t="n"/>
      <c r="G1938" s="4" t="n"/>
      <c r="H1938" s="4" t="n"/>
      <c r="I1938" s="9">
        <f>IF($H1938="","",IFERROR(INDEX('Settings'!$J$10:$J$39,MATCH($H1938,'Settings'!$I$10:$I$39,0)),""))</f>
        <v/>
      </c>
      <c r="J1938" s="6" t="n"/>
      <c r="K1938" s="8" t="n"/>
      <c r="L1938" s="8" t="n"/>
      <c r="M1938" s="14">
        <f>IF($A1938="","",$J1938*$K1938)</f>
        <v/>
      </c>
      <c r="N1938" s="14">
        <f>IF($A1938="","",$M1938-$L1938)</f>
        <v/>
      </c>
      <c r="O1938" s="4" t="n"/>
      <c r="P1938" s="15">
        <f>IF($A1938="","",DATE(YEAR($A1938),MONTH($A1938),1))</f>
        <v/>
      </c>
      <c r="Q1938" s="16">
        <f>IF($H1938="","",$J1938*IFERROR(INDEX('Settings'!$L$10:$L$39,MATCH($H1938,'Settings'!$I$10:$I$39,0)),0))</f>
        <v/>
      </c>
      <c r="R1938" s="17">
        <f>IF($A1938="","",$A1938-WEEKDAY($A1938,2)+1)</f>
        <v/>
      </c>
    </row>
    <row r="1939">
      <c r="A1939" s="5" t="n"/>
      <c r="B1939" s="4" t="n"/>
      <c r="C1939" s="4" t="n"/>
      <c r="D1939" s="4" t="n"/>
      <c r="E1939" s="4" t="n"/>
      <c r="F1939" s="4" t="n"/>
      <c r="G1939" s="4" t="n"/>
      <c r="H1939" s="4" t="n"/>
      <c r="I1939" s="9">
        <f>IF($H1939="","",IFERROR(INDEX('Settings'!$J$10:$J$39,MATCH($H1939,'Settings'!$I$10:$I$39,0)),""))</f>
        <v/>
      </c>
      <c r="J1939" s="6" t="n"/>
      <c r="K1939" s="8" t="n"/>
      <c r="L1939" s="8" t="n"/>
      <c r="M1939" s="14">
        <f>IF($A1939="","",$J1939*$K1939)</f>
        <v/>
      </c>
      <c r="N1939" s="14">
        <f>IF($A1939="","",$M1939-$L1939)</f>
        <v/>
      </c>
      <c r="O1939" s="4" t="n"/>
      <c r="P1939" s="15">
        <f>IF($A1939="","",DATE(YEAR($A1939),MONTH($A1939),1))</f>
        <v/>
      </c>
      <c r="Q1939" s="16">
        <f>IF($H1939="","",$J1939*IFERROR(INDEX('Settings'!$L$10:$L$39,MATCH($H1939,'Settings'!$I$10:$I$39,0)),0))</f>
        <v/>
      </c>
      <c r="R1939" s="17">
        <f>IF($A1939="","",$A1939-WEEKDAY($A1939,2)+1)</f>
        <v/>
      </c>
    </row>
    <row r="1940">
      <c r="A1940" s="5" t="n"/>
      <c r="B1940" s="4" t="n"/>
      <c r="C1940" s="4" t="n"/>
      <c r="D1940" s="4" t="n"/>
      <c r="E1940" s="4" t="n"/>
      <c r="F1940" s="4" t="n"/>
      <c r="G1940" s="4" t="n"/>
      <c r="H1940" s="4" t="n"/>
      <c r="I1940" s="9">
        <f>IF($H1940="","",IFERROR(INDEX('Settings'!$J$10:$J$39,MATCH($H1940,'Settings'!$I$10:$I$39,0)),""))</f>
        <v/>
      </c>
      <c r="J1940" s="6" t="n"/>
      <c r="K1940" s="8" t="n"/>
      <c r="L1940" s="8" t="n"/>
      <c r="M1940" s="14">
        <f>IF($A1940="","",$J1940*$K1940)</f>
        <v/>
      </c>
      <c r="N1940" s="14">
        <f>IF($A1940="","",$M1940-$L1940)</f>
        <v/>
      </c>
      <c r="O1940" s="4" t="n"/>
      <c r="P1940" s="15">
        <f>IF($A1940="","",DATE(YEAR($A1940),MONTH($A1940),1))</f>
        <v/>
      </c>
      <c r="Q1940" s="16">
        <f>IF($H1940="","",$J1940*IFERROR(INDEX('Settings'!$L$10:$L$39,MATCH($H1940,'Settings'!$I$10:$I$39,0)),0))</f>
        <v/>
      </c>
      <c r="R1940" s="17">
        <f>IF($A1940="","",$A1940-WEEKDAY($A1940,2)+1)</f>
        <v/>
      </c>
    </row>
    <row r="1941">
      <c r="A1941" s="5" t="n"/>
      <c r="B1941" s="4" t="n"/>
      <c r="C1941" s="4" t="n"/>
      <c r="D1941" s="4" t="n"/>
      <c r="E1941" s="4" t="n"/>
      <c r="F1941" s="4" t="n"/>
      <c r="G1941" s="4" t="n"/>
      <c r="H1941" s="4" t="n"/>
      <c r="I1941" s="9">
        <f>IF($H1941="","",IFERROR(INDEX('Settings'!$J$10:$J$39,MATCH($H1941,'Settings'!$I$10:$I$39,0)),""))</f>
        <v/>
      </c>
      <c r="J1941" s="6" t="n"/>
      <c r="K1941" s="8" t="n"/>
      <c r="L1941" s="8" t="n"/>
      <c r="M1941" s="14">
        <f>IF($A1941="","",$J1941*$K1941)</f>
        <v/>
      </c>
      <c r="N1941" s="14">
        <f>IF($A1941="","",$M1941-$L1941)</f>
        <v/>
      </c>
      <c r="O1941" s="4" t="n"/>
      <c r="P1941" s="15">
        <f>IF($A1941="","",DATE(YEAR($A1941),MONTH($A1941),1))</f>
        <v/>
      </c>
      <c r="Q1941" s="16">
        <f>IF($H1941="","",$J1941*IFERROR(INDEX('Settings'!$L$10:$L$39,MATCH($H1941,'Settings'!$I$10:$I$39,0)),0))</f>
        <v/>
      </c>
      <c r="R1941" s="17">
        <f>IF($A1941="","",$A1941-WEEKDAY($A1941,2)+1)</f>
        <v/>
      </c>
    </row>
    <row r="1942">
      <c r="A1942" s="5" t="n"/>
      <c r="B1942" s="4" t="n"/>
      <c r="C1942" s="4" t="n"/>
      <c r="D1942" s="4" t="n"/>
      <c r="E1942" s="4" t="n"/>
      <c r="F1942" s="4" t="n"/>
      <c r="G1942" s="4" t="n"/>
      <c r="H1942" s="4" t="n"/>
      <c r="I1942" s="9">
        <f>IF($H1942="","",IFERROR(INDEX('Settings'!$J$10:$J$39,MATCH($H1942,'Settings'!$I$10:$I$39,0)),""))</f>
        <v/>
      </c>
      <c r="J1942" s="6" t="n"/>
      <c r="K1942" s="8" t="n"/>
      <c r="L1942" s="8" t="n"/>
      <c r="M1942" s="14">
        <f>IF($A1942="","",$J1942*$K1942)</f>
        <v/>
      </c>
      <c r="N1942" s="14">
        <f>IF($A1942="","",$M1942-$L1942)</f>
        <v/>
      </c>
      <c r="O1942" s="4" t="n"/>
      <c r="P1942" s="15">
        <f>IF($A1942="","",DATE(YEAR($A1942),MONTH($A1942),1))</f>
        <v/>
      </c>
      <c r="Q1942" s="16">
        <f>IF($H1942="","",$J1942*IFERROR(INDEX('Settings'!$L$10:$L$39,MATCH($H1942,'Settings'!$I$10:$I$39,0)),0))</f>
        <v/>
      </c>
      <c r="R1942" s="17">
        <f>IF($A1942="","",$A1942-WEEKDAY($A1942,2)+1)</f>
        <v/>
      </c>
    </row>
    <row r="1943">
      <c r="A1943" s="5" t="n"/>
      <c r="B1943" s="4" t="n"/>
      <c r="C1943" s="4" t="n"/>
      <c r="D1943" s="4" t="n"/>
      <c r="E1943" s="4" t="n"/>
      <c r="F1943" s="4" t="n"/>
      <c r="G1943" s="4" t="n"/>
      <c r="H1943" s="4" t="n"/>
      <c r="I1943" s="9">
        <f>IF($H1943="","",IFERROR(INDEX('Settings'!$J$10:$J$39,MATCH($H1943,'Settings'!$I$10:$I$39,0)),""))</f>
        <v/>
      </c>
      <c r="J1943" s="6" t="n"/>
      <c r="K1943" s="8" t="n"/>
      <c r="L1943" s="8" t="n"/>
      <c r="M1943" s="14">
        <f>IF($A1943="","",$J1943*$K1943)</f>
        <v/>
      </c>
      <c r="N1943" s="14">
        <f>IF($A1943="","",$M1943-$L1943)</f>
        <v/>
      </c>
      <c r="O1943" s="4" t="n"/>
      <c r="P1943" s="15">
        <f>IF($A1943="","",DATE(YEAR($A1943),MONTH($A1943),1))</f>
        <v/>
      </c>
      <c r="Q1943" s="16">
        <f>IF($H1943="","",$J1943*IFERROR(INDEX('Settings'!$L$10:$L$39,MATCH($H1943,'Settings'!$I$10:$I$39,0)),0))</f>
        <v/>
      </c>
      <c r="R1943" s="17">
        <f>IF($A1943="","",$A1943-WEEKDAY($A1943,2)+1)</f>
        <v/>
      </c>
    </row>
    <row r="1944">
      <c r="A1944" s="5" t="n"/>
      <c r="B1944" s="4" t="n"/>
      <c r="C1944" s="4" t="n"/>
      <c r="D1944" s="4" t="n"/>
      <c r="E1944" s="4" t="n"/>
      <c r="F1944" s="4" t="n"/>
      <c r="G1944" s="4" t="n"/>
      <c r="H1944" s="4" t="n"/>
      <c r="I1944" s="9">
        <f>IF($H1944="","",IFERROR(INDEX('Settings'!$J$10:$J$39,MATCH($H1944,'Settings'!$I$10:$I$39,0)),""))</f>
        <v/>
      </c>
      <c r="J1944" s="6" t="n"/>
      <c r="K1944" s="8" t="n"/>
      <c r="L1944" s="8" t="n"/>
      <c r="M1944" s="14">
        <f>IF($A1944="","",$J1944*$K1944)</f>
        <v/>
      </c>
      <c r="N1944" s="14">
        <f>IF($A1944="","",$M1944-$L1944)</f>
        <v/>
      </c>
      <c r="O1944" s="4" t="n"/>
      <c r="P1944" s="15">
        <f>IF($A1944="","",DATE(YEAR($A1944),MONTH($A1944),1))</f>
        <v/>
      </c>
      <c r="Q1944" s="16">
        <f>IF($H1944="","",$J1944*IFERROR(INDEX('Settings'!$L$10:$L$39,MATCH($H1944,'Settings'!$I$10:$I$39,0)),0))</f>
        <v/>
      </c>
      <c r="R1944" s="17">
        <f>IF($A1944="","",$A1944-WEEKDAY($A1944,2)+1)</f>
        <v/>
      </c>
    </row>
    <row r="1945">
      <c r="A1945" s="5" t="n"/>
      <c r="B1945" s="4" t="n"/>
      <c r="C1945" s="4" t="n"/>
      <c r="D1945" s="4" t="n"/>
      <c r="E1945" s="4" t="n"/>
      <c r="F1945" s="4" t="n"/>
      <c r="G1945" s="4" t="n"/>
      <c r="H1945" s="4" t="n"/>
      <c r="I1945" s="9">
        <f>IF($H1945="","",IFERROR(INDEX('Settings'!$J$10:$J$39,MATCH($H1945,'Settings'!$I$10:$I$39,0)),""))</f>
        <v/>
      </c>
      <c r="J1945" s="6" t="n"/>
      <c r="K1945" s="8" t="n"/>
      <c r="L1945" s="8" t="n"/>
      <c r="M1945" s="14">
        <f>IF($A1945="","",$J1945*$K1945)</f>
        <v/>
      </c>
      <c r="N1945" s="14">
        <f>IF($A1945="","",$M1945-$L1945)</f>
        <v/>
      </c>
      <c r="O1945" s="4" t="n"/>
      <c r="P1945" s="15">
        <f>IF($A1945="","",DATE(YEAR($A1945),MONTH($A1945),1))</f>
        <v/>
      </c>
      <c r="Q1945" s="16">
        <f>IF($H1945="","",$J1945*IFERROR(INDEX('Settings'!$L$10:$L$39,MATCH($H1945,'Settings'!$I$10:$I$39,0)),0))</f>
        <v/>
      </c>
      <c r="R1945" s="17">
        <f>IF($A1945="","",$A1945-WEEKDAY($A1945,2)+1)</f>
        <v/>
      </c>
    </row>
    <row r="1946">
      <c r="A1946" s="5" t="n"/>
      <c r="B1946" s="4" t="n"/>
      <c r="C1946" s="4" t="n"/>
      <c r="D1946" s="4" t="n"/>
      <c r="E1946" s="4" t="n"/>
      <c r="F1946" s="4" t="n"/>
      <c r="G1946" s="4" t="n"/>
      <c r="H1946" s="4" t="n"/>
      <c r="I1946" s="9">
        <f>IF($H1946="","",IFERROR(INDEX('Settings'!$J$10:$J$39,MATCH($H1946,'Settings'!$I$10:$I$39,0)),""))</f>
        <v/>
      </c>
      <c r="J1946" s="6" t="n"/>
      <c r="K1946" s="8" t="n"/>
      <c r="L1946" s="8" t="n"/>
      <c r="M1946" s="14">
        <f>IF($A1946="","",$J1946*$K1946)</f>
        <v/>
      </c>
      <c r="N1946" s="14">
        <f>IF($A1946="","",$M1946-$L1946)</f>
        <v/>
      </c>
      <c r="O1946" s="4" t="n"/>
      <c r="P1946" s="15">
        <f>IF($A1946="","",DATE(YEAR($A1946),MONTH($A1946),1))</f>
        <v/>
      </c>
      <c r="Q1946" s="16">
        <f>IF($H1946="","",$J1946*IFERROR(INDEX('Settings'!$L$10:$L$39,MATCH($H1946,'Settings'!$I$10:$I$39,0)),0))</f>
        <v/>
      </c>
      <c r="R1946" s="17">
        <f>IF($A1946="","",$A1946-WEEKDAY($A1946,2)+1)</f>
        <v/>
      </c>
    </row>
    <row r="1947">
      <c r="A1947" s="5" t="n"/>
      <c r="B1947" s="4" t="n"/>
      <c r="C1947" s="4" t="n"/>
      <c r="D1947" s="4" t="n"/>
      <c r="E1947" s="4" t="n"/>
      <c r="F1947" s="4" t="n"/>
      <c r="G1947" s="4" t="n"/>
      <c r="H1947" s="4" t="n"/>
      <c r="I1947" s="9">
        <f>IF($H1947="","",IFERROR(INDEX('Settings'!$J$10:$J$39,MATCH($H1947,'Settings'!$I$10:$I$39,0)),""))</f>
        <v/>
      </c>
      <c r="J1947" s="6" t="n"/>
      <c r="K1947" s="8" t="n"/>
      <c r="L1947" s="8" t="n"/>
      <c r="M1947" s="14">
        <f>IF($A1947="","",$J1947*$K1947)</f>
        <v/>
      </c>
      <c r="N1947" s="14">
        <f>IF($A1947="","",$M1947-$L1947)</f>
        <v/>
      </c>
      <c r="O1947" s="4" t="n"/>
      <c r="P1947" s="15">
        <f>IF($A1947="","",DATE(YEAR($A1947),MONTH($A1947),1))</f>
        <v/>
      </c>
      <c r="Q1947" s="16">
        <f>IF($H1947="","",$J1947*IFERROR(INDEX('Settings'!$L$10:$L$39,MATCH($H1947,'Settings'!$I$10:$I$39,0)),0))</f>
        <v/>
      </c>
      <c r="R1947" s="17">
        <f>IF($A1947="","",$A1947-WEEKDAY($A1947,2)+1)</f>
        <v/>
      </c>
    </row>
    <row r="1948">
      <c r="A1948" s="5" t="n"/>
      <c r="B1948" s="4" t="n"/>
      <c r="C1948" s="4" t="n"/>
      <c r="D1948" s="4" t="n"/>
      <c r="E1948" s="4" t="n"/>
      <c r="F1948" s="4" t="n"/>
      <c r="G1948" s="4" t="n"/>
      <c r="H1948" s="4" t="n"/>
      <c r="I1948" s="9">
        <f>IF($H1948="","",IFERROR(INDEX('Settings'!$J$10:$J$39,MATCH($H1948,'Settings'!$I$10:$I$39,0)),""))</f>
        <v/>
      </c>
      <c r="J1948" s="6" t="n"/>
      <c r="K1948" s="8" t="n"/>
      <c r="L1948" s="8" t="n"/>
      <c r="M1948" s="14">
        <f>IF($A1948="","",$J1948*$K1948)</f>
        <v/>
      </c>
      <c r="N1948" s="14">
        <f>IF($A1948="","",$M1948-$L1948)</f>
        <v/>
      </c>
      <c r="O1948" s="4" t="n"/>
      <c r="P1948" s="15">
        <f>IF($A1948="","",DATE(YEAR($A1948),MONTH($A1948),1))</f>
        <v/>
      </c>
      <c r="Q1948" s="16">
        <f>IF($H1948="","",$J1948*IFERROR(INDEX('Settings'!$L$10:$L$39,MATCH($H1948,'Settings'!$I$10:$I$39,0)),0))</f>
        <v/>
      </c>
      <c r="R1948" s="17">
        <f>IF($A1948="","",$A1948-WEEKDAY($A1948,2)+1)</f>
        <v/>
      </c>
    </row>
    <row r="1949">
      <c r="A1949" s="5" t="n"/>
      <c r="B1949" s="4" t="n"/>
      <c r="C1949" s="4" t="n"/>
      <c r="D1949" s="4" t="n"/>
      <c r="E1949" s="4" t="n"/>
      <c r="F1949" s="4" t="n"/>
      <c r="G1949" s="4" t="n"/>
      <c r="H1949" s="4" t="n"/>
      <c r="I1949" s="9">
        <f>IF($H1949="","",IFERROR(INDEX('Settings'!$J$10:$J$39,MATCH($H1949,'Settings'!$I$10:$I$39,0)),""))</f>
        <v/>
      </c>
      <c r="J1949" s="6" t="n"/>
      <c r="K1949" s="8" t="n"/>
      <c r="L1949" s="8" t="n"/>
      <c r="M1949" s="14">
        <f>IF($A1949="","",$J1949*$K1949)</f>
        <v/>
      </c>
      <c r="N1949" s="14">
        <f>IF($A1949="","",$M1949-$L1949)</f>
        <v/>
      </c>
      <c r="O1949" s="4" t="n"/>
      <c r="P1949" s="15">
        <f>IF($A1949="","",DATE(YEAR($A1949),MONTH($A1949),1))</f>
        <v/>
      </c>
      <c r="Q1949" s="16">
        <f>IF($H1949="","",$J1949*IFERROR(INDEX('Settings'!$L$10:$L$39,MATCH($H1949,'Settings'!$I$10:$I$39,0)),0))</f>
        <v/>
      </c>
      <c r="R1949" s="17">
        <f>IF($A1949="","",$A1949-WEEKDAY($A1949,2)+1)</f>
        <v/>
      </c>
    </row>
    <row r="1950">
      <c r="A1950" s="5" t="n"/>
      <c r="B1950" s="4" t="n"/>
      <c r="C1950" s="4" t="n"/>
      <c r="D1950" s="4" t="n"/>
      <c r="E1950" s="4" t="n"/>
      <c r="F1950" s="4" t="n"/>
      <c r="G1950" s="4" t="n"/>
      <c r="H1950" s="4" t="n"/>
      <c r="I1950" s="9">
        <f>IF($H1950="","",IFERROR(INDEX('Settings'!$J$10:$J$39,MATCH($H1950,'Settings'!$I$10:$I$39,0)),""))</f>
        <v/>
      </c>
      <c r="J1950" s="6" t="n"/>
      <c r="K1950" s="8" t="n"/>
      <c r="L1950" s="8" t="n"/>
      <c r="M1950" s="14">
        <f>IF($A1950="","",$J1950*$K1950)</f>
        <v/>
      </c>
      <c r="N1950" s="14">
        <f>IF($A1950="","",$M1950-$L1950)</f>
        <v/>
      </c>
      <c r="O1950" s="4" t="n"/>
      <c r="P1950" s="15">
        <f>IF($A1950="","",DATE(YEAR($A1950),MONTH($A1950),1))</f>
        <v/>
      </c>
      <c r="Q1950" s="16">
        <f>IF($H1950="","",$J1950*IFERROR(INDEX('Settings'!$L$10:$L$39,MATCH($H1950,'Settings'!$I$10:$I$39,0)),0))</f>
        <v/>
      </c>
      <c r="R1950" s="17">
        <f>IF($A1950="","",$A1950-WEEKDAY($A1950,2)+1)</f>
        <v/>
      </c>
    </row>
    <row r="1951">
      <c r="A1951" s="5" t="n"/>
      <c r="B1951" s="4" t="n"/>
      <c r="C1951" s="4" t="n"/>
      <c r="D1951" s="4" t="n"/>
      <c r="E1951" s="4" t="n"/>
      <c r="F1951" s="4" t="n"/>
      <c r="G1951" s="4" t="n"/>
      <c r="H1951" s="4" t="n"/>
      <c r="I1951" s="9">
        <f>IF($H1951="","",IFERROR(INDEX('Settings'!$J$10:$J$39,MATCH($H1951,'Settings'!$I$10:$I$39,0)),""))</f>
        <v/>
      </c>
      <c r="J1951" s="6" t="n"/>
      <c r="K1951" s="8" t="n"/>
      <c r="L1951" s="8" t="n"/>
      <c r="M1951" s="14">
        <f>IF($A1951="","",$J1951*$K1951)</f>
        <v/>
      </c>
      <c r="N1951" s="14">
        <f>IF($A1951="","",$M1951-$L1951)</f>
        <v/>
      </c>
      <c r="O1951" s="4" t="n"/>
      <c r="P1951" s="15">
        <f>IF($A1951="","",DATE(YEAR($A1951),MONTH($A1951),1))</f>
        <v/>
      </c>
      <c r="Q1951" s="16">
        <f>IF($H1951="","",$J1951*IFERROR(INDEX('Settings'!$L$10:$L$39,MATCH($H1951,'Settings'!$I$10:$I$39,0)),0))</f>
        <v/>
      </c>
      <c r="R1951" s="17">
        <f>IF($A1951="","",$A1951-WEEKDAY($A1951,2)+1)</f>
        <v/>
      </c>
    </row>
    <row r="1952">
      <c r="A1952" s="5" t="n"/>
      <c r="B1952" s="4" t="n"/>
      <c r="C1952" s="4" t="n"/>
      <c r="D1952" s="4" t="n"/>
      <c r="E1952" s="4" t="n"/>
      <c r="F1952" s="4" t="n"/>
      <c r="G1952" s="4" t="n"/>
      <c r="H1952" s="4" t="n"/>
      <c r="I1952" s="9">
        <f>IF($H1952="","",IFERROR(INDEX('Settings'!$J$10:$J$39,MATCH($H1952,'Settings'!$I$10:$I$39,0)),""))</f>
        <v/>
      </c>
      <c r="J1952" s="6" t="n"/>
      <c r="K1952" s="8" t="n"/>
      <c r="L1952" s="8" t="n"/>
      <c r="M1952" s="14">
        <f>IF($A1952="","",$J1952*$K1952)</f>
        <v/>
      </c>
      <c r="N1952" s="14">
        <f>IF($A1952="","",$M1952-$L1952)</f>
        <v/>
      </c>
      <c r="O1952" s="4" t="n"/>
      <c r="P1952" s="15">
        <f>IF($A1952="","",DATE(YEAR($A1952),MONTH($A1952),1))</f>
        <v/>
      </c>
      <c r="Q1952" s="16">
        <f>IF($H1952="","",$J1952*IFERROR(INDEX('Settings'!$L$10:$L$39,MATCH($H1952,'Settings'!$I$10:$I$39,0)),0))</f>
        <v/>
      </c>
      <c r="R1952" s="17">
        <f>IF($A1952="","",$A1952-WEEKDAY($A1952,2)+1)</f>
        <v/>
      </c>
    </row>
    <row r="1953">
      <c r="A1953" s="5" t="n"/>
      <c r="B1953" s="4" t="n"/>
      <c r="C1953" s="4" t="n"/>
      <c r="D1953" s="4" t="n"/>
      <c r="E1953" s="4" t="n"/>
      <c r="F1953" s="4" t="n"/>
      <c r="G1953" s="4" t="n"/>
      <c r="H1953" s="4" t="n"/>
      <c r="I1953" s="9">
        <f>IF($H1953="","",IFERROR(INDEX('Settings'!$J$10:$J$39,MATCH($H1953,'Settings'!$I$10:$I$39,0)),""))</f>
        <v/>
      </c>
      <c r="J1953" s="6" t="n"/>
      <c r="K1953" s="8" t="n"/>
      <c r="L1953" s="8" t="n"/>
      <c r="M1953" s="14">
        <f>IF($A1953="","",$J1953*$K1953)</f>
        <v/>
      </c>
      <c r="N1953" s="14">
        <f>IF($A1953="","",$M1953-$L1953)</f>
        <v/>
      </c>
      <c r="O1953" s="4" t="n"/>
      <c r="P1953" s="15">
        <f>IF($A1953="","",DATE(YEAR($A1953),MONTH($A1953),1))</f>
        <v/>
      </c>
      <c r="Q1953" s="16">
        <f>IF($H1953="","",$J1953*IFERROR(INDEX('Settings'!$L$10:$L$39,MATCH($H1953,'Settings'!$I$10:$I$39,0)),0))</f>
        <v/>
      </c>
      <c r="R1953" s="17">
        <f>IF($A1953="","",$A1953-WEEKDAY($A1953,2)+1)</f>
        <v/>
      </c>
    </row>
    <row r="1954">
      <c r="A1954" s="5" t="n"/>
      <c r="B1954" s="4" t="n"/>
      <c r="C1954" s="4" t="n"/>
      <c r="D1954" s="4" t="n"/>
      <c r="E1954" s="4" t="n"/>
      <c r="F1954" s="4" t="n"/>
      <c r="G1954" s="4" t="n"/>
      <c r="H1954" s="4" t="n"/>
      <c r="I1954" s="9">
        <f>IF($H1954="","",IFERROR(INDEX('Settings'!$J$10:$J$39,MATCH($H1954,'Settings'!$I$10:$I$39,0)),""))</f>
        <v/>
      </c>
      <c r="J1954" s="6" t="n"/>
      <c r="K1954" s="8" t="n"/>
      <c r="L1954" s="8" t="n"/>
      <c r="M1954" s="14">
        <f>IF($A1954="","",$J1954*$K1954)</f>
        <v/>
      </c>
      <c r="N1954" s="14">
        <f>IF($A1954="","",$M1954-$L1954)</f>
        <v/>
      </c>
      <c r="O1954" s="4" t="n"/>
      <c r="P1954" s="15">
        <f>IF($A1954="","",DATE(YEAR($A1954),MONTH($A1954),1))</f>
        <v/>
      </c>
      <c r="Q1954" s="16">
        <f>IF($H1954="","",$J1954*IFERROR(INDEX('Settings'!$L$10:$L$39,MATCH($H1954,'Settings'!$I$10:$I$39,0)),0))</f>
        <v/>
      </c>
      <c r="R1954" s="17">
        <f>IF($A1954="","",$A1954-WEEKDAY($A1954,2)+1)</f>
        <v/>
      </c>
    </row>
    <row r="1955">
      <c r="A1955" s="5" t="n"/>
      <c r="B1955" s="4" t="n"/>
      <c r="C1955" s="4" t="n"/>
      <c r="D1955" s="4" t="n"/>
      <c r="E1955" s="4" t="n"/>
      <c r="F1955" s="4" t="n"/>
      <c r="G1955" s="4" t="n"/>
      <c r="H1955" s="4" t="n"/>
      <c r="I1955" s="9">
        <f>IF($H1955="","",IFERROR(INDEX('Settings'!$J$10:$J$39,MATCH($H1955,'Settings'!$I$10:$I$39,0)),""))</f>
        <v/>
      </c>
      <c r="J1955" s="6" t="n"/>
      <c r="K1955" s="8" t="n"/>
      <c r="L1955" s="8" t="n"/>
      <c r="M1955" s="14">
        <f>IF($A1955="","",$J1955*$K1955)</f>
        <v/>
      </c>
      <c r="N1955" s="14">
        <f>IF($A1955="","",$M1955-$L1955)</f>
        <v/>
      </c>
      <c r="O1955" s="4" t="n"/>
      <c r="P1955" s="15">
        <f>IF($A1955="","",DATE(YEAR($A1955),MONTH($A1955),1))</f>
        <v/>
      </c>
      <c r="Q1955" s="16">
        <f>IF($H1955="","",$J1955*IFERROR(INDEX('Settings'!$L$10:$L$39,MATCH($H1955,'Settings'!$I$10:$I$39,0)),0))</f>
        <v/>
      </c>
      <c r="R1955" s="17">
        <f>IF($A1955="","",$A1955-WEEKDAY($A1955,2)+1)</f>
        <v/>
      </c>
    </row>
    <row r="1956">
      <c r="A1956" s="5" t="n"/>
      <c r="B1956" s="4" t="n"/>
      <c r="C1956" s="4" t="n"/>
      <c r="D1956" s="4" t="n"/>
      <c r="E1956" s="4" t="n"/>
      <c r="F1956" s="4" t="n"/>
      <c r="G1956" s="4" t="n"/>
      <c r="H1956" s="4" t="n"/>
      <c r="I1956" s="9">
        <f>IF($H1956="","",IFERROR(INDEX('Settings'!$J$10:$J$39,MATCH($H1956,'Settings'!$I$10:$I$39,0)),""))</f>
        <v/>
      </c>
      <c r="J1956" s="6" t="n"/>
      <c r="K1956" s="8" t="n"/>
      <c r="L1956" s="8" t="n"/>
      <c r="M1956" s="14">
        <f>IF($A1956="","",$J1956*$K1956)</f>
        <v/>
      </c>
      <c r="N1956" s="14">
        <f>IF($A1956="","",$M1956-$L1956)</f>
        <v/>
      </c>
      <c r="O1956" s="4" t="n"/>
      <c r="P1956" s="15">
        <f>IF($A1956="","",DATE(YEAR($A1956),MONTH($A1956),1))</f>
        <v/>
      </c>
      <c r="Q1956" s="16">
        <f>IF($H1956="","",$J1956*IFERROR(INDEX('Settings'!$L$10:$L$39,MATCH($H1956,'Settings'!$I$10:$I$39,0)),0))</f>
        <v/>
      </c>
      <c r="R1956" s="17">
        <f>IF($A1956="","",$A1956-WEEKDAY($A1956,2)+1)</f>
        <v/>
      </c>
    </row>
    <row r="1957">
      <c r="A1957" s="5" t="n"/>
      <c r="B1957" s="4" t="n"/>
      <c r="C1957" s="4" t="n"/>
      <c r="D1957" s="4" t="n"/>
      <c r="E1957" s="4" t="n"/>
      <c r="F1957" s="4" t="n"/>
      <c r="G1957" s="4" t="n"/>
      <c r="H1957" s="4" t="n"/>
      <c r="I1957" s="9">
        <f>IF($H1957="","",IFERROR(INDEX('Settings'!$J$10:$J$39,MATCH($H1957,'Settings'!$I$10:$I$39,0)),""))</f>
        <v/>
      </c>
      <c r="J1957" s="6" t="n"/>
      <c r="K1957" s="8" t="n"/>
      <c r="L1957" s="8" t="n"/>
      <c r="M1957" s="14">
        <f>IF($A1957="","",$J1957*$K1957)</f>
        <v/>
      </c>
      <c r="N1957" s="14">
        <f>IF($A1957="","",$M1957-$L1957)</f>
        <v/>
      </c>
      <c r="O1957" s="4" t="n"/>
      <c r="P1957" s="15">
        <f>IF($A1957="","",DATE(YEAR($A1957),MONTH($A1957),1))</f>
        <v/>
      </c>
      <c r="Q1957" s="16">
        <f>IF($H1957="","",$J1957*IFERROR(INDEX('Settings'!$L$10:$L$39,MATCH($H1957,'Settings'!$I$10:$I$39,0)),0))</f>
        <v/>
      </c>
      <c r="R1957" s="17">
        <f>IF($A1957="","",$A1957-WEEKDAY($A1957,2)+1)</f>
        <v/>
      </c>
    </row>
    <row r="1958">
      <c r="A1958" s="5" t="n"/>
      <c r="B1958" s="4" t="n"/>
      <c r="C1958" s="4" t="n"/>
      <c r="D1958" s="4" t="n"/>
      <c r="E1958" s="4" t="n"/>
      <c r="F1958" s="4" t="n"/>
      <c r="G1958" s="4" t="n"/>
      <c r="H1958" s="4" t="n"/>
      <c r="I1958" s="9">
        <f>IF($H1958="","",IFERROR(INDEX('Settings'!$J$10:$J$39,MATCH($H1958,'Settings'!$I$10:$I$39,0)),""))</f>
        <v/>
      </c>
      <c r="J1958" s="6" t="n"/>
      <c r="K1958" s="8" t="n"/>
      <c r="L1958" s="8" t="n"/>
      <c r="M1958" s="14">
        <f>IF($A1958="","",$J1958*$K1958)</f>
        <v/>
      </c>
      <c r="N1958" s="14">
        <f>IF($A1958="","",$M1958-$L1958)</f>
        <v/>
      </c>
      <c r="O1958" s="4" t="n"/>
      <c r="P1958" s="15">
        <f>IF($A1958="","",DATE(YEAR($A1958),MONTH($A1958),1))</f>
        <v/>
      </c>
      <c r="Q1958" s="16">
        <f>IF($H1958="","",$J1958*IFERROR(INDEX('Settings'!$L$10:$L$39,MATCH($H1958,'Settings'!$I$10:$I$39,0)),0))</f>
        <v/>
      </c>
      <c r="R1958" s="17">
        <f>IF($A1958="","",$A1958-WEEKDAY($A1958,2)+1)</f>
        <v/>
      </c>
    </row>
    <row r="1959">
      <c r="A1959" s="5" t="n"/>
      <c r="B1959" s="4" t="n"/>
      <c r="C1959" s="4" t="n"/>
      <c r="D1959" s="4" t="n"/>
      <c r="E1959" s="4" t="n"/>
      <c r="F1959" s="4" t="n"/>
      <c r="G1959" s="4" t="n"/>
      <c r="H1959" s="4" t="n"/>
      <c r="I1959" s="9">
        <f>IF($H1959="","",IFERROR(INDEX('Settings'!$J$10:$J$39,MATCH($H1959,'Settings'!$I$10:$I$39,0)),""))</f>
        <v/>
      </c>
      <c r="J1959" s="6" t="n"/>
      <c r="K1959" s="8" t="n"/>
      <c r="L1959" s="8" t="n"/>
      <c r="M1959" s="14">
        <f>IF($A1959="","",$J1959*$K1959)</f>
        <v/>
      </c>
      <c r="N1959" s="14">
        <f>IF($A1959="","",$M1959-$L1959)</f>
        <v/>
      </c>
      <c r="O1959" s="4" t="n"/>
      <c r="P1959" s="15">
        <f>IF($A1959="","",DATE(YEAR($A1959),MONTH($A1959),1))</f>
        <v/>
      </c>
      <c r="Q1959" s="16">
        <f>IF($H1959="","",$J1959*IFERROR(INDEX('Settings'!$L$10:$L$39,MATCH($H1959,'Settings'!$I$10:$I$39,0)),0))</f>
        <v/>
      </c>
      <c r="R1959" s="17">
        <f>IF($A1959="","",$A1959-WEEKDAY($A1959,2)+1)</f>
        <v/>
      </c>
    </row>
    <row r="1960">
      <c r="A1960" s="5" t="n"/>
      <c r="B1960" s="4" t="n"/>
      <c r="C1960" s="4" t="n"/>
      <c r="D1960" s="4" t="n"/>
      <c r="E1960" s="4" t="n"/>
      <c r="F1960" s="4" t="n"/>
      <c r="G1960" s="4" t="n"/>
      <c r="H1960" s="4" t="n"/>
      <c r="I1960" s="9">
        <f>IF($H1960="","",IFERROR(INDEX('Settings'!$J$10:$J$39,MATCH($H1960,'Settings'!$I$10:$I$39,0)),""))</f>
        <v/>
      </c>
      <c r="J1960" s="6" t="n"/>
      <c r="K1960" s="8" t="n"/>
      <c r="L1960" s="8" t="n"/>
      <c r="M1960" s="14">
        <f>IF($A1960="","",$J1960*$K1960)</f>
        <v/>
      </c>
      <c r="N1960" s="14">
        <f>IF($A1960="","",$M1960-$L1960)</f>
        <v/>
      </c>
      <c r="O1960" s="4" t="n"/>
      <c r="P1960" s="15">
        <f>IF($A1960="","",DATE(YEAR($A1960),MONTH($A1960),1))</f>
        <v/>
      </c>
      <c r="Q1960" s="16">
        <f>IF($H1960="","",$J1960*IFERROR(INDEX('Settings'!$L$10:$L$39,MATCH($H1960,'Settings'!$I$10:$I$39,0)),0))</f>
        <v/>
      </c>
      <c r="R1960" s="17">
        <f>IF($A1960="","",$A1960-WEEKDAY($A1960,2)+1)</f>
        <v/>
      </c>
    </row>
    <row r="1961">
      <c r="A1961" s="5" t="n"/>
      <c r="B1961" s="4" t="n"/>
      <c r="C1961" s="4" t="n"/>
      <c r="D1961" s="4" t="n"/>
      <c r="E1961" s="4" t="n"/>
      <c r="F1961" s="4" t="n"/>
      <c r="G1961" s="4" t="n"/>
      <c r="H1961" s="4" t="n"/>
      <c r="I1961" s="9">
        <f>IF($H1961="","",IFERROR(INDEX('Settings'!$J$10:$J$39,MATCH($H1961,'Settings'!$I$10:$I$39,0)),""))</f>
        <v/>
      </c>
      <c r="J1961" s="6" t="n"/>
      <c r="K1961" s="8" t="n"/>
      <c r="L1961" s="8" t="n"/>
      <c r="M1961" s="14">
        <f>IF($A1961="","",$J1961*$K1961)</f>
        <v/>
      </c>
      <c r="N1961" s="14">
        <f>IF($A1961="","",$M1961-$L1961)</f>
        <v/>
      </c>
      <c r="O1961" s="4" t="n"/>
      <c r="P1961" s="15">
        <f>IF($A1961="","",DATE(YEAR($A1961),MONTH($A1961),1))</f>
        <v/>
      </c>
      <c r="Q1961" s="16">
        <f>IF($H1961="","",$J1961*IFERROR(INDEX('Settings'!$L$10:$L$39,MATCH($H1961,'Settings'!$I$10:$I$39,0)),0))</f>
        <v/>
      </c>
      <c r="R1961" s="17">
        <f>IF($A1961="","",$A1961-WEEKDAY($A1961,2)+1)</f>
        <v/>
      </c>
    </row>
    <row r="1962">
      <c r="A1962" s="5" t="n"/>
      <c r="B1962" s="4" t="n"/>
      <c r="C1962" s="4" t="n"/>
      <c r="D1962" s="4" t="n"/>
      <c r="E1962" s="4" t="n"/>
      <c r="F1962" s="4" t="n"/>
      <c r="G1962" s="4" t="n"/>
      <c r="H1962" s="4" t="n"/>
      <c r="I1962" s="9">
        <f>IF($H1962="","",IFERROR(INDEX('Settings'!$J$10:$J$39,MATCH($H1962,'Settings'!$I$10:$I$39,0)),""))</f>
        <v/>
      </c>
      <c r="J1962" s="6" t="n"/>
      <c r="K1962" s="8" t="n"/>
      <c r="L1962" s="8" t="n"/>
      <c r="M1962" s="14">
        <f>IF($A1962="","",$J1962*$K1962)</f>
        <v/>
      </c>
      <c r="N1962" s="14">
        <f>IF($A1962="","",$M1962-$L1962)</f>
        <v/>
      </c>
      <c r="O1962" s="4" t="n"/>
      <c r="P1962" s="15">
        <f>IF($A1962="","",DATE(YEAR($A1962),MONTH($A1962),1))</f>
        <v/>
      </c>
      <c r="Q1962" s="16">
        <f>IF($H1962="","",$J1962*IFERROR(INDEX('Settings'!$L$10:$L$39,MATCH($H1962,'Settings'!$I$10:$I$39,0)),0))</f>
        <v/>
      </c>
      <c r="R1962" s="17">
        <f>IF($A1962="","",$A1962-WEEKDAY($A1962,2)+1)</f>
        <v/>
      </c>
    </row>
    <row r="1963">
      <c r="A1963" s="5" t="n"/>
      <c r="B1963" s="4" t="n"/>
      <c r="C1963" s="4" t="n"/>
      <c r="D1963" s="4" t="n"/>
      <c r="E1963" s="4" t="n"/>
      <c r="F1963" s="4" t="n"/>
      <c r="G1963" s="4" t="n"/>
      <c r="H1963" s="4" t="n"/>
      <c r="I1963" s="9">
        <f>IF($H1963="","",IFERROR(INDEX('Settings'!$J$10:$J$39,MATCH($H1963,'Settings'!$I$10:$I$39,0)),""))</f>
        <v/>
      </c>
      <c r="J1963" s="6" t="n"/>
      <c r="K1963" s="8" t="n"/>
      <c r="L1963" s="8" t="n"/>
      <c r="M1963" s="14">
        <f>IF($A1963="","",$J1963*$K1963)</f>
        <v/>
      </c>
      <c r="N1963" s="14">
        <f>IF($A1963="","",$M1963-$L1963)</f>
        <v/>
      </c>
      <c r="O1963" s="4" t="n"/>
      <c r="P1963" s="15">
        <f>IF($A1963="","",DATE(YEAR($A1963),MONTH($A1963),1))</f>
        <v/>
      </c>
      <c r="Q1963" s="16">
        <f>IF($H1963="","",$J1963*IFERROR(INDEX('Settings'!$L$10:$L$39,MATCH($H1963,'Settings'!$I$10:$I$39,0)),0))</f>
        <v/>
      </c>
      <c r="R1963" s="17">
        <f>IF($A1963="","",$A1963-WEEKDAY($A1963,2)+1)</f>
        <v/>
      </c>
    </row>
    <row r="1964">
      <c r="A1964" s="5" t="n"/>
      <c r="B1964" s="4" t="n"/>
      <c r="C1964" s="4" t="n"/>
      <c r="D1964" s="4" t="n"/>
      <c r="E1964" s="4" t="n"/>
      <c r="F1964" s="4" t="n"/>
      <c r="G1964" s="4" t="n"/>
      <c r="H1964" s="4" t="n"/>
      <c r="I1964" s="9">
        <f>IF($H1964="","",IFERROR(INDEX('Settings'!$J$10:$J$39,MATCH($H1964,'Settings'!$I$10:$I$39,0)),""))</f>
        <v/>
      </c>
      <c r="J1964" s="6" t="n"/>
      <c r="K1964" s="8" t="n"/>
      <c r="L1964" s="8" t="n"/>
      <c r="M1964" s="14">
        <f>IF($A1964="","",$J1964*$K1964)</f>
        <v/>
      </c>
      <c r="N1964" s="14">
        <f>IF($A1964="","",$M1964-$L1964)</f>
        <v/>
      </c>
      <c r="O1964" s="4" t="n"/>
      <c r="P1964" s="15">
        <f>IF($A1964="","",DATE(YEAR($A1964),MONTH($A1964),1))</f>
        <v/>
      </c>
      <c r="Q1964" s="16">
        <f>IF($H1964="","",$J1964*IFERROR(INDEX('Settings'!$L$10:$L$39,MATCH($H1964,'Settings'!$I$10:$I$39,0)),0))</f>
        <v/>
      </c>
      <c r="R1964" s="17">
        <f>IF($A1964="","",$A1964-WEEKDAY($A1964,2)+1)</f>
        <v/>
      </c>
    </row>
    <row r="1965">
      <c r="A1965" s="5" t="n"/>
      <c r="B1965" s="4" t="n"/>
      <c r="C1965" s="4" t="n"/>
      <c r="D1965" s="4" t="n"/>
      <c r="E1965" s="4" t="n"/>
      <c r="F1965" s="4" t="n"/>
      <c r="G1965" s="4" t="n"/>
      <c r="H1965" s="4" t="n"/>
      <c r="I1965" s="9">
        <f>IF($H1965="","",IFERROR(INDEX('Settings'!$J$10:$J$39,MATCH($H1965,'Settings'!$I$10:$I$39,0)),""))</f>
        <v/>
      </c>
      <c r="J1965" s="6" t="n"/>
      <c r="K1965" s="8" t="n"/>
      <c r="L1965" s="8" t="n"/>
      <c r="M1965" s="14">
        <f>IF($A1965="","",$J1965*$K1965)</f>
        <v/>
      </c>
      <c r="N1965" s="14">
        <f>IF($A1965="","",$M1965-$L1965)</f>
        <v/>
      </c>
      <c r="O1965" s="4" t="n"/>
      <c r="P1965" s="15">
        <f>IF($A1965="","",DATE(YEAR($A1965),MONTH($A1965),1))</f>
        <v/>
      </c>
      <c r="Q1965" s="16">
        <f>IF($H1965="","",$J1965*IFERROR(INDEX('Settings'!$L$10:$L$39,MATCH($H1965,'Settings'!$I$10:$I$39,0)),0))</f>
        <v/>
      </c>
      <c r="R1965" s="17">
        <f>IF($A1965="","",$A1965-WEEKDAY($A1965,2)+1)</f>
        <v/>
      </c>
    </row>
    <row r="1966">
      <c r="A1966" s="5" t="n"/>
      <c r="B1966" s="4" t="n"/>
      <c r="C1966" s="4" t="n"/>
      <c r="D1966" s="4" t="n"/>
      <c r="E1966" s="4" t="n"/>
      <c r="F1966" s="4" t="n"/>
      <c r="G1966" s="4" t="n"/>
      <c r="H1966" s="4" t="n"/>
      <c r="I1966" s="9">
        <f>IF($H1966="","",IFERROR(INDEX('Settings'!$J$10:$J$39,MATCH($H1966,'Settings'!$I$10:$I$39,0)),""))</f>
        <v/>
      </c>
      <c r="J1966" s="6" t="n"/>
      <c r="K1966" s="8" t="n"/>
      <c r="L1966" s="8" t="n"/>
      <c r="M1966" s="14">
        <f>IF($A1966="","",$J1966*$K1966)</f>
        <v/>
      </c>
      <c r="N1966" s="14">
        <f>IF($A1966="","",$M1966-$L1966)</f>
        <v/>
      </c>
      <c r="O1966" s="4" t="n"/>
      <c r="P1966" s="15">
        <f>IF($A1966="","",DATE(YEAR($A1966),MONTH($A1966),1))</f>
        <v/>
      </c>
      <c r="Q1966" s="16">
        <f>IF($H1966="","",$J1966*IFERROR(INDEX('Settings'!$L$10:$L$39,MATCH($H1966,'Settings'!$I$10:$I$39,0)),0))</f>
        <v/>
      </c>
      <c r="R1966" s="17">
        <f>IF($A1966="","",$A1966-WEEKDAY($A1966,2)+1)</f>
        <v/>
      </c>
    </row>
    <row r="1967">
      <c r="A1967" s="5" t="n"/>
      <c r="B1967" s="4" t="n"/>
      <c r="C1967" s="4" t="n"/>
      <c r="D1967" s="4" t="n"/>
      <c r="E1967" s="4" t="n"/>
      <c r="F1967" s="4" t="n"/>
      <c r="G1967" s="4" t="n"/>
      <c r="H1967" s="4" t="n"/>
      <c r="I1967" s="9">
        <f>IF($H1967="","",IFERROR(INDEX('Settings'!$J$10:$J$39,MATCH($H1967,'Settings'!$I$10:$I$39,0)),""))</f>
        <v/>
      </c>
      <c r="J1967" s="6" t="n"/>
      <c r="K1967" s="8" t="n"/>
      <c r="L1967" s="8" t="n"/>
      <c r="M1967" s="14">
        <f>IF($A1967="","",$J1967*$K1967)</f>
        <v/>
      </c>
      <c r="N1967" s="14">
        <f>IF($A1967="","",$M1967-$L1967)</f>
        <v/>
      </c>
      <c r="O1967" s="4" t="n"/>
      <c r="P1967" s="15">
        <f>IF($A1967="","",DATE(YEAR($A1967),MONTH($A1967),1))</f>
        <v/>
      </c>
      <c r="Q1967" s="16">
        <f>IF($H1967="","",$J1967*IFERROR(INDEX('Settings'!$L$10:$L$39,MATCH($H1967,'Settings'!$I$10:$I$39,0)),0))</f>
        <v/>
      </c>
      <c r="R1967" s="17">
        <f>IF($A1967="","",$A1967-WEEKDAY($A1967,2)+1)</f>
        <v/>
      </c>
    </row>
    <row r="1968">
      <c r="A1968" s="5" t="n"/>
      <c r="B1968" s="4" t="n"/>
      <c r="C1968" s="4" t="n"/>
      <c r="D1968" s="4" t="n"/>
      <c r="E1968" s="4" t="n"/>
      <c r="F1968" s="4" t="n"/>
      <c r="G1968" s="4" t="n"/>
      <c r="H1968" s="4" t="n"/>
      <c r="I1968" s="9">
        <f>IF($H1968="","",IFERROR(INDEX('Settings'!$J$10:$J$39,MATCH($H1968,'Settings'!$I$10:$I$39,0)),""))</f>
        <v/>
      </c>
      <c r="J1968" s="6" t="n"/>
      <c r="K1968" s="8" t="n"/>
      <c r="L1968" s="8" t="n"/>
      <c r="M1968" s="14">
        <f>IF($A1968="","",$J1968*$K1968)</f>
        <v/>
      </c>
      <c r="N1968" s="14">
        <f>IF($A1968="","",$M1968-$L1968)</f>
        <v/>
      </c>
      <c r="O1968" s="4" t="n"/>
      <c r="P1968" s="15">
        <f>IF($A1968="","",DATE(YEAR($A1968),MONTH($A1968),1))</f>
        <v/>
      </c>
      <c r="Q1968" s="16">
        <f>IF($H1968="","",$J1968*IFERROR(INDEX('Settings'!$L$10:$L$39,MATCH($H1968,'Settings'!$I$10:$I$39,0)),0))</f>
        <v/>
      </c>
      <c r="R1968" s="17">
        <f>IF($A1968="","",$A1968-WEEKDAY($A1968,2)+1)</f>
        <v/>
      </c>
    </row>
    <row r="1969">
      <c r="A1969" s="5" t="n"/>
      <c r="B1969" s="4" t="n"/>
      <c r="C1969" s="4" t="n"/>
      <c r="D1969" s="4" t="n"/>
      <c r="E1969" s="4" t="n"/>
      <c r="F1969" s="4" t="n"/>
      <c r="G1969" s="4" t="n"/>
      <c r="H1969" s="4" t="n"/>
      <c r="I1969" s="9">
        <f>IF($H1969="","",IFERROR(INDEX('Settings'!$J$10:$J$39,MATCH($H1969,'Settings'!$I$10:$I$39,0)),""))</f>
        <v/>
      </c>
      <c r="J1969" s="6" t="n"/>
      <c r="K1969" s="8" t="n"/>
      <c r="L1969" s="8" t="n"/>
      <c r="M1969" s="14">
        <f>IF($A1969="","",$J1969*$K1969)</f>
        <v/>
      </c>
      <c r="N1969" s="14">
        <f>IF($A1969="","",$M1969-$L1969)</f>
        <v/>
      </c>
      <c r="O1969" s="4" t="n"/>
      <c r="P1969" s="15">
        <f>IF($A1969="","",DATE(YEAR($A1969),MONTH($A1969),1))</f>
        <v/>
      </c>
      <c r="Q1969" s="16">
        <f>IF($H1969="","",$J1969*IFERROR(INDEX('Settings'!$L$10:$L$39,MATCH($H1969,'Settings'!$I$10:$I$39,0)),0))</f>
        <v/>
      </c>
      <c r="R1969" s="17">
        <f>IF($A1969="","",$A1969-WEEKDAY($A1969,2)+1)</f>
        <v/>
      </c>
    </row>
    <row r="1970">
      <c r="A1970" s="5" t="n"/>
      <c r="B1970" s="4" t="n"/>
      <c r="C1970" s="4" t="n"/>
      <c r="D1970" s="4" t="n"/>
      <c r="E1970" s="4" t="n"/>
      <c r="F1970" s="4" t="n"/>
      <c r="G1970" s="4" t="n"/>
      <c r="H1970" s="4" t="n"/>
      <c r="I1970" s="9">
        <f>IF($H1970="","",IFERROR(INDEX('Settings'!$J$10:$J$39,MATCH($H1970,'Settings'!$I$10:$I$39,0)),""))</f>
        <v/>
      </c>
      <c r="J1970" s="6" t="n"/>
      <c r="K1970" s="8" t="n"/>
      <c r="L1970" s="8" t="n"/>
      <c r="M1970" s="14">
        <f>IF($A1970="","",$J1970*$K1970)</f>
        <v/>
      </c>
      <c r="N1970" s="14">
        <f>IF($A1970="","",$M1970-$L1970)</f>
        <v/>
      </c>
      <c r="O1970" s="4" t="n"/>
      <c r="P1970" s="15">
        <f>IF($A1970="","",DATE(YEAR($A1970),MONTH($A1970),1))</f>
        <v/>
      </c>
      <c r="Q1970" s="16">
        <f>IF($H1970="","",$J1970*IFERROR(INDEX('Settings'!$L$10:$L$39,MATCH($H1970,'Settings'!$I$10:$I$39,0)),0))</f>
        <v/>
      </c>
      <c r="R1970" s="17">
        <f>IF($A1970="","",$A1970-WEEKDAY($A1970,2)+1)</f>
        <v/>
      </c>
    </row>
    <row r="1971">
      <c r="A1971" s="5" t="n"/>
      <c r="B1971" s="4" t="n"/>
      <c r="C1971" s="4" t="n"/>
      <c r="D1971" s="4" t="n"/>
      <c r="E1971" s="4" t="n"/>
      <c r="F1971" s="4" t="n"/>
      <c r="G1971" s="4" t="n"/>
      <c r="H1971" s="4" t="n"/>
      <c r="I1971" s="9">
        <f>IF($H1971="","",IFERROR(INDEX('Settings'!$J$10:$J$39,MATCH($H1971,'Settings'!$I$10:$I$39,0)),""))</f>
        <v/>
      </c>
      <c r="J1971" s="6" t="n"/>
      <c r="K1971" s="8" t="n"/>
      <c r="L1971" s="8" t="n"/>
      <c r="M1971" s="14">
        <f>IF($A1971="","",$J1971*$K1971)</f>
        <v/>
      </c>
      <c r="N1971" s="14">
        <f>IF($A1971="","",$M1971-$L1971)</f>
        <v/>
      </c>
      <c r="O1971" s="4" t="n"/>
      <c r="P1971" s="15">
        <f>IF($A1971="","",DATE(YEAR($A1971),MONTH($A1971),1))</f>
        <v/>
      </c>
      <c r="Q1971" s="16">
        <f>IF($H1971="","",$J1971*IFERROR(INDEX('Settings'!$L$10:$L$39,MATCH($H1971,'Settings'!$I$10:$I$39,0)),0))</f>
        <v/>
      </c>
      <c r="R1971" s="17">
        <f>IF($A1971="","",$A1971-WEEKDAY($A1971,2)+1)</f>
        <v/>
      </c>
    </row>
    <row r="1972">
      <c r="A1972" s="5" t="n"/>
      <c r="B1972" s="4" t="n"/>
      <c r="C1972" s="4" t="n"/>
      <c r="D1972" s="4" t="n"/>
      <c r="E1972" s="4" t="n"/>
      <c r="F1972" s="4" t="n"/>
      <c r="G1972" s="4" t="n"/>
      <c r="H1972" s="4" t="n"/>
      <c r="I1972" s="9">
        <f>IF($H1972="","",IFERROR(INDEX('Settings'!$J$10:$J$39,MATCH($H1972,'Settings'!$I$10:$I$39,0)),""))</f>
        <v/>
      </c>
      <c r="J1972" s="6" t="n"/>
      <c r="K1972" s="8" t="n"/>
      <c r="L1972" s="8" t="n"/>
      <c r="M1972" s="14">
        <f>IF($A1972="","",$J1972*$K1972)</f>
        <v/>
      </c>
      <c r="N1972" s="14">
        <f>IF($A1972="","",$M1972-$L1972)</f>
        <v/>
      </c>
      <c r="O1972" s="4" t="n"/>
      <c r="P1972" s="15">
        <f>IF($A1972="","",DATE(YEAR($A1972),MONTH($A1972),1))</f>
        <v/>
      </c>
      <c r="Q1972" s="16">
        <f>IF($H1972="","",$J1972*IFERROR(INDEX('Settings'!$L$10:$L$39,MATCH($H1972,'Settings'!$I$10:$I$39,0)),0))</f>
        <v/>
      </c>
      <c r="R1972" s="17">
        <f>IF($A1972="","",$A1972-WEEKDAY($A1972,2)+1)</f>
        <v/>
      </c>
    </row>
    <row r="1973">
      <c r="A1973" s="5" t="n"/>
      <c r="B1973" s="4" t="n"/>
      <c r="C1973" s="4" t="n"/>
      <c r="D1973" s="4" t="n"/>
      <c r="E1973" s="4" t="n"/>
      <c r="F1973" s="4" t="n"/>
      <c r="G1973" s="4" t="n"/>
      <c r="H1973" s="4" t="n"/>
      <c r="I1973" s="9">
        <f>IF($H1973="","",IFERROR(INDEX('Settings'!$J$10:$J$39,MATCH($H1973,'Settings'!$I$10:$I$39,0)),""))</f>
        <v/>
      </c>
      <c r="J1973" s="6" t="n"/>
      <c r="K1973" s="8" t="n"/>
      <c r="L1973" s="8" t="n"/>
      <c r="M1973" s="14">
        <f>IF($A1973="","",$J1973*$K1973)</f>
        <v/>
      </c>
      <c r="N1973" s="14">
        <f>IF($A1973="","",$M1973-$L1973)</f>
        <v/>
      </c>
      <c r="O1973" s="4" t="n"/>
      <c r="P1973" s="15">
        <f>IF($A1973="","",DATE(YEAR($A1973),MONTH($A1973),1))</f>
        <v/>
      </c>
      <c r="Q1973" s="16">
        <f>IF($H1973="","",$J1973*IFERROR(INDEX('Settings'!$L$10:$L$39,MATCH($H1973,'Settings'!$I$10:$I$39,0)),0))</f>
        <v/>
      </c>
      <c r="R1973" s="17">
        <f>IF($A1973="","",$A1973-WEEKDAY($A1973,2)+1)</f>
        <v/>
      </c>
    </row>
    <row r="1974">
      <c r="A1974" s="5" t="n"/>
      <c r="B1974" s="4" t="n"/>
      <c r="C1974" s="4" t="n"/>
      <c r="D1974" s="4" t="n"/>
      <c r="E1974" s="4" t="n"/>
      <c r="F1974" s="4" t="n"/>
      <c r="G1974" s="4" t="n"/>
      <c r="H1974" s="4" t="n"/>
      <c r="I1974" s="9">
        <f>IF($H1974="","",IFERROR(INDEX('Settings'!$J$10:$J$39,MATCH($H1974,'Settings'!$I$10:$I$39,0)),""))</f>
        <v/>
      </c>
      <c r="J1974" s="6" t="n"/>
      <c r="K1974" s="8" t="n"/>
      <c r="L1974" s="8" t="n"/>
      <c r="M1974" s="14">
        <f>IF($A1974="","",$J1974*$K1974)</f>
        <v/>
      </c>
      <c r="N1974" s="14">
        <f>IF($A1974="","",$M1974-$L1974)</f>
        <v/>
      </c>
      <c r="O1974" s="4" t="n"/>
      <c r="P1974" s="15">
        <f>IF($A1974="","",DATE(YEAR($A1974),MONTH($A1974),1))</f>
        <v/>
      </c>
      <c r="Q1974" s="16">
        <f>IF($H1974="","",$J1974*IFERROR(INDEX('Settings'!$L$10:$L$39,MATCH($H1974,'Settings'!$I$10:$I$39,0)),0))</f>
        <v/>
      </c>
      <c r="R1974" s="17">
        <f>IF($A1974="","",$A1974-WEEKDAY($A1974,2)+1)</f>
        <v/>
      </c>
    </row>
    <row r="1975">
      <c r="A1975" s="5" t="n"/>
      <c r="B1975" s="4" t="n"/>
      <c r="C1975" s="4" t="n"/>
      <c r="D1975" s="4" t="n"/>
      <c r="E1975" s="4" t="n"/>
      <c r="F1975" s="4" t="n"/>
      <c r="G1975" s="4" t="n"/>
      <c r="H1975" s="4" t="n"/>
      <c r="I1975" s="9">
        <f>IF($H1975="","",IFERROR(INDEX('Settings'!$J$10:$J$39,MATCH($H1975,'Settings'!$I$10:$I$39,0)),""))</f>
        <v/>
      </c>
      <c r="J1975" s="6" t="n"/>
      <c r="K1975" s="8" t="n"/>
      <c r="L1975" s="8" t="n"/>
      <c r="M1975" s="14">
        <f>IF($A1975="","",$J1975*$K1975)</f>
        <v/>
      </c>
      <c r="N1975" s="14">
        <f>IF($A1975="","",$M1975-$L1975)</f>
        <v/>
      </c>
      <c r="O1975" s="4" t="n"/>
      <c r="P1975" s="15">
        <f>IF($A1975="","",DATE(YEAR($A1975),MONTH($A1975),1))</f>
        <v/>
      </c>
      <c r="Q1975" s="16">
        <f>IF($H1975="","",$J1975*IFERROR(INDEX('Settings'!$L$10:$L$39,MATCH($H1975,'Settings'!$I$10:$I$39,0)),0))</f>
        <v/>
      </c>
      <c r="R1975" s="17">
        <f>IF($A1975="","",$A1975-WEEKDAY($A1975,2)+1)</f>
        <v/>
      </c>
    </row>
    <row r="1976">
      <c r="A1976" s="5" t="n"/>
      <c r="B1976" s="4" t="n"/>
      <c r="C1976" s="4" t="n"/>
      <c r="D1976" s="4" t="n"/>
      <c r="E1976" s="4" t="n"/>
      <c r="F1976" s="4" t="n"/>
      <c r="G1976" s="4" t="n"/>
      <c r="H1976" s="4" t="n"/>
      <c r="I1976" s="9">
        <f>IF($H1976="","",IFERROR(INDEX('Settings'!$J$10:$J$39,MATCH($H1976,'Settings'!$I$10:$I$39,0)),""))</f>
        <v/>
      </c>
      <c r="J1976" s="6" t="n"/>
      <c r="K1976" s="8" t="n"/>
      <c r="L1976" s="8" t="n"/>
      <c r="M1976" s="14">
        <f>IF($A1976="","",$J1976*$K1976)</f>
        <v/>
      </c>
      <c r="N1976" s="14">
        <f>IF($A1976="","",$M1976-$L1976)</f>
        <v/>
      </c>
      <c r="O1976" s="4" t="n"/>
      <c r="P1976" s="15">
        <f>IF($A1976="","",DATE(YEAR($A1976),MONTH($A1976),1))</f>
        <v/>
      </c>
      <c r="Q1976" s="16">
        <f>IF($H1976="","",$J1976*IFERROR(INDEX('Settings'!$L$10:$L$39,MATCH($H1976,'Settings'!$I$10:$I$39,0)),0))</f>
        <v/>
      </c>
      <c r="R1976" s="17">
        <f>IF($A1976="","",$A1976-WEEKDAY($A1976,2)+1)</f>
        <v/>
      </c>
    </row>
    <row r="1977">
      <c r="A1977" s="5" t="n"/>
      <c r="B1977" s="4" t="n"/>
      <c r="C1977" s="4" t="n"/>
      <c r="D1977" s="4" t="n"/>
      <c r="E1977" s="4" t="n"/>
      <c r="F1977" s="4" t="n"/>
      <c r="G1977" s="4" t="n"/>
      <c r="H1977" s="4" t="n"/>
      <c r="I1977" s="9">
        <f>IF($H1977="","",IFERROR(INDEX('Settings'!$J$10:$J$39,MATCH($H1977,'Settings'!$I$10:$I$39,0)),""))</f>
        <v/>
      </c>
      <c r="J1977" s="6" t="n"/>
      <c r="K1977" s="8" t="n"/>
      <c r="L1977" s="8" t="n"/>
      <c r="M1977" s="14">
        <f>IF($A1977="","",$J1977*$K1977)</f>
        <v/>
      </c>
      <c r="N1977" s="14">
        <f>IF($A1977="","",$M1977-$L1977)</f>
        <v/>
      </c>
      <c r="O1977" s="4" t="n"/>
      <c r="P1977" s="15">
        <f>IF($A1977="","",DATE(YEAR($A1977),MONTH($A1977),1))</f>
        <v/>
      </c>
      <c r="Q1977" s="16">
        <f>IF($H1977="","",$J1977*IFERROR(INDEX('Settings'!$L$10:$L$39,MATCH($H1977,'Settings'!$I$10:$I$39,0)),0))</f>
        <v/>
      </c>
      <c r="R1977" s="17">
        <f>IF($A1977="","",$A1977-WEEKDAY($A1977,2)+1)</f>
        <v/>
      </c>
    </row>
    <row r="1978">
      <c r="A1978" s="5" t="n"/>
      <c r="B1978" s="4" t="n"/>
      <c r="C1978" s="4" t="n"/>
      <c r="D1978" s="4" t="n"/>
      <c r="E1978" s="4" t="n"/>
      <c r="F1978" s="4" t="n"/>
      <c r="G1978" s="4" t="n"/>
      <c r="H1978" s="4" t="n"/>
      <c r="I1978" s="9">
        <f>IF($H1978="","",IFERROR(INDEX('Settings'!$J$10:$J$39,MATCH($H1978,'Settings'!$I$10:$I$39,0)),""))</f>
        <v/>
      </c>
      <c r="J1978" s="6" t="n"/>
      <c r="K1978" s="8" t="n"/>
      <c r="L1978" s="8" t="n"/>
      <c r="M1978" s="14">
        <f>IF($A1978="","",$J1978*$K1978)</f>
        <v/>
      </c>
      <c r="N1978" s="14">
        <f>IF($A1978="","",$M1978-$L1978)</f>
        <v/>
      </c>
      <c r="O1978" s="4" t="n"/>
      <c r="P1978" s="15">
        <f>IF($A1978="","",DATE(YEAR($A1978),MONTH($A1978),1))</f>
        <v/>
      </c>
      <c r="Q1978" s="16">
        <f>IF($H1978="","",$J1978*IFERROR(INDEX('Settings'!$L$10:$L$39,MATCH($H1978,'Settings'!$I$10:$I$39,0)),0))</f>
        <v/>
      </c>
      <c r="R1978" s="17">
        <f>IF($A1978="","",$A1978-WEEKDAY($A1978,2)+1)</f>
        <v/>
      </c>
    </row>
    <row r="1979">
      <c r="A1979" s="5" t="n"/>
      <c r="B1979" s="4" t="n"/>
      <c r="C1979" s="4" t="n"/>
      <c r="D1979" s="4" t="n"/>
      <c r="E1979" s="4" t="n"/>
      <c r="F1979" s="4" t="n"/>
      <c r="G1979" s="4" t="n"/>
      <c r="H1979" s="4" t="n"/>
      <c r="I1979" s="9">
        <f>IF($H1979="","",IFERROR(INDEX('Settings'!$J$10:$J$39,MATCH($H1979,'Settings'!$I$10:$I$39,0)),""))</f>
        <v/>
      </c>
      <c r="J1979" s="6" t="n"/>
      <c r="K1979" s="8" t="n"/>
      <c r="L1979" s="8" t="n"/>
      <c r="M1979" s="14">
        <f>IF($A1979="","",$J1979*$K1979)</f>
        <v/>
      </c>
      <c r="N1979" s="14">
        <f>IF($A1979="","",$M1979-$L1979)</f>
        <v/>
      </c>
      <c r="O1979" s="4" t="n"/>
      <c r="P1979" s="15">
        <f>IF($A1979="","",DATE(YEAR($A1979),MONTH($A1979),1))</f>
        <v/>
      </c>
      <c r="Q1979" s="16">
        <f>IF($H1979="","",$J1979*IFERROR(INDEX('Settings'!$L$10:$L$39,MATCH($H1979,'Settings'!$I$10:$I$39,0)),0))</f>
        <v/>
      </c>
      <c r="R1979" s="17">
        <f>IF($A1979="","",$A1979-WEEKDAY($A1979,2)+1)</f>
        <v/>
      </c>
    </row>
    <row r="1980">
      <c r="A1980" s="5" t="n"/>
      <c r="B1980" s="4" t="n"/>
      <c r="C1980" s="4" t="n"/>
      <c r="D1980" s="4" t="n"/>
      <c r="E1980" s="4" t="n"/>
      <c r="F1980" s="4" t="n"/>
      <c r="G1980" s="4" t="n"/>
      <c r="H1980" s="4" t="n"/>
      <c r="I1980" s="9">
        <f>IF($H1980="","",IFERROR(INDEX('Settings'!$J$10:$J$39,MATCH($H1980,'Settings'!$I$10:$I$39,0)),""))</f>
        <v/>
      </c>
      <c r="J1980" s="6" t="n"/>
      <c r="K1980" s="8" t="n"/>
      <c r="L1980" s="8" t="n"/>
      <c r="M1980" s="14">
        <f>IF($A1980="","",$J1980*$K1980)</f>
        <v/>
      </c>
      <c r="N1980" s="14">
        <f>IF($A1980="","",$M1980-$L1980)</f>
        <v/>
      </c>
      <c r="O1980" s="4" t="n"/>
      <c r="P1980" s="15">
        <f>IF($A1980="","",DATE(YEAR($A1980),MONTH($A1980),1))</f>
        <v/>
      </c>
      <c r="Q1980" s="16">
        <f>IF($H1980="","",$J1980*IFERROR(INDEX('Settings'!$L$10:$L$39,MATCH($H1980,'Settings'!$I$10:$I$39,0)),0))</f>
        <v/>
      </c>
      <c r="R1980" s="17">
        <f>IF($A1980="","",$A1980-WEEKDAY($A1980,2)+1)</f>
        <v/>
      </c>
    </row>
    <row r="1981">
      <c r="A1981" s="5" t="n"/>
      <c r="B1981" s="4" t="n"/>
      <c r="C1981" s="4" t="n"/>
      <c r="D1981" s="4" t="n"/>
      <c r="E1981" s="4" t="n"/>
      <c r="F1981" s="4" t="n"/>
      <c r="G1981" s="4" t="n"/>
      <c r="H1981" s="4" t="n"/>
      <c r="I1981" s="9">
        <f>IF($H1981="","",IFERROR(INDEX('Settings'!$J$10:$J$39,MATCH($H1981,'Settings'!$I$10:$I$39,0)),""))</f>
        <v/>
      </c>
      <c r="J1981" s="6" t="n"/>
      <c r="K1981" s="8" t="n"/>
      <c r="L1981" s="8" t="n"/>
      <c r="M1981" s="14">
        <f>IF($A1981="","",$J1981*$K1981)</f>
        <v/>
      </c>
      <c r="N1981" s="14">
        <f>IF($A1981="","",$M1981-$L1981)</f>
        <v/>
      </c>
      <c r="O1981" s="4" t="n"/>
      <c r="P1981" s="15">
        <f>IF($A1981="","",DATE(YEAR($A1981),MONTH($A1981),1))</f>
        <v/>
      </c>
      <c r="Q1981" s="16">
        <f>IF($H1981="","",$J1981*IFERROR(INDEX('Settings'!$L$10:$L$39,MATCH($H1981,'Settings'!$I$10:$I$39,0)),0))</f>
        <v/>
      </c>
      <c r="R1981" s="17">
        <f>IF($A1981="","",$A1981-WEEKDAY($A1981,2)+1)</f>
        <v/>
      </c>
    </row>
    <row r="1982">
      <c r="A1982" s="5" t="n"/>
      <c r="B1982" s="4" t="n"/>
      <c r="C1982" s="4" t="n"/>
      <c r="D1982" s="4" t="n"/>
      <c r="E1982" s="4" t="n"/>
      <c r="F1982" s="4" t="n"/>
      <c r="G1982" s="4" t="n"/>
      <c r="H1982" s="4" t="n"/>
      <c r="I1982" s="9">
        <f>IF($H1982="","",IFERROR(INDEX('Settings'!$J$10:$J$39,MATCH($H1982,'Settings'!$I$10:$I$39,0)),""))</f>
        <v/>
      </c>
      <c r="J1982" s="6" t="n"/>
      <c r="K1982" s="8" t="n"/>
      <c r="L1982" s="8" t="n"/>
      <c r="M1982" s="14">
        <f>IF($A1982="","",$J1982*$K1982)</f>
        <v/>
      </c>
      <c r="N1982" s="14">
        <f>IF($A1982="","",$M1982-$L1982)</f>
        <v/>
      </c>
      <c r="O1982" s="4" t="n"/>
      <c r="P1982" s="15">
        <f>IF($A1982="","",DATE(YEAR($A1982),MONTH($A1982),1))</f>
        <v/>
      </c>
      <c r="Q1982" s="16">
        <f>IF($H1982="","",$J1982*IFERROR(INDEX('Settings'!$L$10:$L$39,MATCH($H1982,'Settings'!$I$10:$I$39,0)),0))</f>
        <v/>
      </c>
      <c r="R1982" s="17">
        <f>IF($A1982="","",$A1982-WEEKDAY($A1982,2)+1)</f>
        <v/>
      </c>
    </row>
    <row r="1983">
      <c r="A1983" s="5" t="n"/>
      <c r="B1983" s="4" t="n"/>
      <c r="C1983" s="4" t="n"/>
      <c r="D1983" s="4" t="n"/>
      <c r="E1983" s="4" t="n"/>
      <c r="F1983" s="4" t="n"/>
      <c r="G1983" s="4" t="n"/>
      <c r="H1983" s="4" t="n"/>
      <c r="I1983" s="9">
        <f>IF($H1983="","",IFERROR(INDEX('Settings'!$J$10:$J$39,MATCH($H1983,'Settings'!$I$10:$I$39,0)),""))</f>
        <v/>
      </c>
      <c r="J1983" s="6" t="n"/>
      <c r="K1983" s="8" t="n"/>
      <c r="L1983" s="8" t="n"/>
      <c r="M1983" s="14">
        <f>IF($A1983="","",$J1983*$K1983)</f>
        <v/>
      </c>
      <c r="N1983" s="14">
        <f>IF($A1983="","",$M1983-$L1983)</f>
        <v/>
      </c>
      <c r="O1983" s="4" t="n"/>
      <c r="P1983" s="15">
        <f>IF($A1983="","",DATE(YEAR($A1983),MONTH($A1983),1))</f>
        <v/>
      </c>
      <c r="Q1983" s="16">
        <f>IF($H1983="","",$J1983*IFERROR(INDEX('Settings'!$L$10:$L$39,MATCH($H1983,'Settings'!$I$10:$I$39,0)),0))</f>
        <v/>
      </c>
      <c r="R1983" s="17">
        <f>IF($A1983="","",$A1983-WEEKDAY($A1983,2)+1)</f>
        <v/>
      </c>
    </row>
    <row r="1984">
      <c r="A1984" s="5" t="n"/>
      <c r="B1984" s="4" t="n"/>
      <c r="C1984" s="4" t="n"/>
      <c r="D1984" s="4" t="n"/>
      <c r="E1984" s="4" t="n"/>
      <c r="F1984" s="4" t="n"/>
      <c r="G1984" s="4" t="n"/>
      <c r="H1984" s="4" t="n"/>
      <c r="I1984" s="9">
        <f>IF($H1984="","",IFERROR(INDEX('Settings'!$J$10:$J$39,MATCH($H1984,'Settings'!$I$10:$I$39,0)),""))</f>
        <v/>
      </c>
      <c r="J1984" s="6" t="n"/>
      <c r="K1984" s="8" t="n"/>
      <c r="L1984" s="8" t="n"/>
      <c r="M1984" s="14">
        <f>IF($A1984="","",$J1984*$K1984)</f>
        <v/>
      </c>
      <c r="N1984" s="14">
        <f>IF($A1984="","",$M1984-$L1984)</f>
        <v/>
      </c>
      <c r="O1984" s="4" t="n"/>
      <c r="P1984" s="15">
        <f>IF($A1984="","",DATE(YEAR($A1984),MONTH($A1984),1))</f>
        <v/>
      </c>
      <c r="Q1984" s="16">
        <f>IF($H1984="","",$J1984*IFERROR(INDEX('Settings'!$L$10:$L$39,MATCH($H1984,'Settings'!$I$10:$I$39,0)),0))</f>
        <v/>
      </c>
      <c r="R1984" s="17">
        <f>IF($A1984="","",$A1984-WEEKDAY($A1984,2)+1)</f>
        <v/>
      </c>
    </row>
    <row r="1985">
      <c r="A1985" s="5" t="n"/>
      <c r="B1985" s="4" t="n"/>
      <c r="C1985" s="4" t="n"/>
      <c r="D1985" s="4" t="n"/>
      <c r="E1985" s="4" t="n"/>
      <c r="F1985" s="4" t="n"/>
      <c r="G1985" s="4" t="n"/>
      <c r="H1985" s="4" t="n"/>
      <c r="I1985" s="9">
        <f>IF($H1985="","",IFERROR(INDEX('Settings'!$J$10:$J$39,MATCH($H1985,'Settings'!$I$10:$I$39,0)),""))</f>
        <v/>
      </c>
      <c r="J1985" s="6" t="n"/>
      <c r="K1985" s="8" t="n"/>
      <c r="L1985" s="8" t="n"/>
      <c r="M1985" s="14">
        <f>IF($A1985="","",$J1985*$K1985)</f>
        <v/>
      </c>
      <c r="N1985" s="14">
        <f>IF($A1985="","",$M1985-$L1985)</f>
        <v/>
      </c>
      <c r="O1985" s="4" t="n"/>
      <c r="P1985" s="15">
        <f>IF($A1985="","",DATE(YEAR($A1985),MONTH($A1985),1))</f>
        <v/>
      </c>
      <c r="Q1985" s="16">
        <f>IF($H1985="","",$J1985*IFERROR(INDEX('Settings'!$L$10:$L$39,MATCH($H1985,'Settings'!$I$10:$I$39,0)),0))</f>
        <v/>
      </c>
      <c r="R1985" s="17">
        <f>IF($A1985="","",$A1985-WEEKDAY($A1985,2)+1)</f>
        <v/>
      </c>
    </row>
    <row r="1986">
      <c r="A1986" s="5" t="n"/>
      <c r="B1986" s="4" t="n"/>
      <c r="C1986" s="4" t="n"/>
      <c r="D1986" s="4" t="n"/>
      <c r="E1986" s="4" t="n"/>
      <c r="F1986" s="4" t="n"/>
      <c r="G1986" s="4" t="n"/>
      <c r="H1986" s="4" t="n"/>
      <c r="I1986" s="9">
        <f>IF($H1986="","",IFERROR(INDEX('Settings'!$J$10:$J$39,MATCH($H1986,'Settings'!$I$10:$I$39,0)),""))</f>
        <v/>
      </c>
      <c r="J1986" s="6" t="n"/>
      <c r="K1986" s="8" t="n"/>
      <c r="L1986" s="8" t="n"/>
      <c r="M1986" s="14">
        <f>IF($A1986="","",$J1986*$K1986)</f>
        <v/>
      </c>
      <c r="N1986" s="14">
        <f>IF($A1986="","",$M1986-$L1986)</f>
        <v/>
      </c>
      <c r="O1986" s="4" t="n"/>
      <c r="P1986" s="15">
        <f>IF($A1986="","",DATE(YEAR($A1986),MONTH($A1986),1))</f>
        <v/>
      </c>
      <c r="Q1986" s="16">
        <f>IF($H1986="","",$J1986*IFERROR(INDEX('Settings'!$L$10:$L$39,MATCH($H1986,'Settings'!$I$10:$I$39,0)),0))</f>
        <v/>
      </c>
      <c r="R1986" s="17">
        <f>IF($A1986="","",$A1986-WEEKDAY($A1986,2)+1)</f>
        <v/>
      </c>
    </row>
    <row r="1987">
      <c r="A1987" s="5" t="n"/>
      <c r="B1987" s="4" t="n"/>
      <c r="C1987" s="4" t="n"/>
      <c r="D1987" s="4" t="n"/>
      <c r="E1987" s="4" t="n"/>
      <c r="F1987" s="4" t="n"/>
      <c r="G1987" s="4" t="n"/>
      <c r="H1987" s="4" t="n"/>
      <c r="I1987" s="9">
        <f>IF($H1987="","",IFERROR(INDEX('Settings'!$J$10:$J$39,MATCH($H1987,'Settings'!$I$10:$I$39,0)),""))</f>
        <v/>
      </c>
      <c r="J1987" s="6" t="n"/>
      <c r="K1987" s="8" t="n"/>
      <c r="L1987" s="8" t="n"/>
      <c r="M1987" s="14">
        <f>IF($A1987="","",$J1987*$K1987)</f>
        <v/>
      </c>
      <c r="N1987" s="14">
        <f>IF($A1987="","",$M1987-$L1987)</f>
        <v/>
      </c>
      <c r="O1987" s="4" t="n"/>
      <c r="P1987" s="15">
        <f>IF($A1987="","",DATE(YEAR($A1987),MONTH($A1987),1))</f>
        <v/>
      </c>
      <c r="Q1987" s="16">
        <f>IF($H1987="","",$J1987*IFERROR(INDEX('Settings'!$L$10:$L$39,MATCH($H1987,'Settings'!$I$10:$I$39,0)),0))</f>
        <v/>
      </c>
      <c r="R1987" s="17">
        <f>IF($A1987="","",$A1987-WEEKDAY($A1987,2)+1)</f>
        <v/>
      </c>
    </row>
    <row r="1988">
      <c r="A1988" s="5" t="n"/>
      <c r="B1988" s="4" t="n"/>
      <c r="C1988" s="4" t="n"/>
      <c r="D1988" s="4" t="n"/>
      <c r="E1988" s="4" t="n"/>
      <c r="F1988" s="4" t="n"/>
      <c r="G1988" s="4" t="n"/>
      <c r="H1988" s="4" t="n"/>
      <c r="I1988" s="9">
        <f>IF($H1988="","",IFERROR(INDEX('Settings'!$J$10:$J$39,MATCH($H1988,'Settings'!$I$10:$I$39,0)),""))</f>
        <v/>
      </c>
      <c r="J1988" s="6" t="n"/>
      <c r="K1988" s="8" t="n"/>
      <c r="L1988" s="8" t="n"/>
      <c r="M1988" s="14">
        <f>IF($A1988="","",$J1988*$K1988)</f>
        <v/>
      </c>
      <c r="N1988" s="14">
        <f>IF($A1988="","",$M1988-$L1988)</f>
        <v/>
      </c>
      <c r="O1988" s="4" t="n"/>
      <c r="P1988" s="15">
        <f>IF($A1988="","",DATE(YEAR($A1988),MONTH($A1988),1))</f>
        <v/>
      </c>
      <c r="Q1988" s="16">
        <f>IF($H1988="","",$J1988*IFERROR(INDEX('Settings'!$L$10:$L$39,MATCH($H1988,'Settings'!$I$10:$I$39,0)),0))</f>
        <v/>
      </c>
      <c r="R1988" s="17">
        <f>IF($A1988="","",$A1988-WEEKDAY($A1988,2)+1)</f>
        <v/>
      </c>
    </row>
    <row r="1989">
      <c r="A1989" s="5" t="n"/>
      <c r="B1989" s="4" t="n"/>
      <c r="C1989" s="4" t="n"/>
      <c r="D1989" s="4" t="n"/>
      <c r="E1989" s="4" t="n"/>
      <c r="F1989" s="4" t="n"/>
      <c r="G1989" s="4" t="n"/>
      <c r="H1989" s="4" t="n"/>
      <c r="I1989" s="9">
        <f>IF($H1989="","",IFERROR(INDEX('Settings'!$J$10:$J$39,MATCH($H1989,'Settings'!$I$10:$I$39,0)),""))</f>
        <v/>
      </c>
      <c r="J1989" s="6" t="n"/>
      <c r="K1989" s="8" t="n"/>
      <c r="L1989" s="8" t="n"/>
      <c r="M1989" s="14">
        <f>IF($A1989="","",$J1989*$K1989)</f>
        <v/>
      </c>
      <c r="N1989" s="14">
        <f>IF($A1989="","",$M1989-$L1989)</f>
        <v/>
      </c>
      <c r="O1989" s="4" t="n"/>
      <c r="P1989" s="15">
        <f>IF($A1989="","",DATE(YEAR($A1989),MONTH($A1989),1))</f>
        <v/>
      </c>
      <c r="Q1989" s="16">
        <f>IF($H1989="","",$J1989*IFERROR(INDEX('Settings'!$L$10:$L$39,MATCH($H1989,'Settings'!$I$10:$I$39,0)),0))</f>
        <v/>
      </c>
      <c r="R1989" s="17">
        <f>IF($A1989="","",$A1989-WEEKDAY($A1989,2)+1)</f>
        <v/>
      </c>
    </row>
    <row r="1990">
      <c r="A1990" s="5" t="n"/>
      <c r="B1990" s="4" t="n"/>
      <c r="C1990" s="4" t="n"/>
      <c r="D1990" s="4" t="n"/>
      <c r="E1990" s="4" t="n"/>
      <c r="F1990" s="4" t="n"/>
      <c r="G1990" s="4" t="n"/>
      <c r="H1990" s="4" t="n"/>
      <c r="I1990" s="9">
        <f>IF($H1990="","",IFERROR(INDEX('Settings'!$J$10:$J$39,MATCH($H1990,'Settings'!$I$10:$I$39,0)),""))</f>
        <v/>
      </c>
      <c r="J1990" s="6" t="n"/>
      <c r="K1990" s="8" t="n"/>
      <c r="L1990" s="8" t="n"/>
      <c r="M1990" s="14">
        <f>IF($A1990="","",$J1990*$K1990)</f>
        <v/>
      </c>
      <c r="N1990" s="14">
        <f>IF($A1990="","",$M1990-$L1990)</f>
        <v/>
      </c>
      <c r="O1990" s="4" t="n"/>
      <c r="P1990" s="15">
        <f>IF($A1990="","",DATE(YEAR($A1990),MONTH($A1990),1))</f>
        <v/>
      </c>
      <c r="Q1990" s="16">
        <f>IF($H1990="","",$J1990*IFERROR(INDEX('Settings'!$L$10:$L$39,MATCH($H1990,'Settings'!$I$10:$I$39,0)),0))</f>
        <v/>
      </c>
      <c r="R1990" s="17">
        <f>IF($A1990="","",$A1990-WEEKDAY($A1990,2)+1)</f>
        <v/>
      </c>
    </row>
    <row r="1991">
      <c r="A1991" s="5" t="n"/>
      <c r="B1991" s="4" t="n"/>
      <c r="C1991" s="4" t="n"/>
      <c r="D1991" s="4" t="n"/>
      <c r="E1991" s="4" t="n"/>
      <c r="F1991" s="4" t="n"/>
      <c r="G1991" s="4" t="n"/>
      <c r="H1991" s="4" t="n"/>
      <c r="I1991" s="9">
        <f>IF($H1991="","",IFERROR(INDEX('Settings'!$J$10:$J$39,MATCH($H1991,'Settings'!$I$10:$I$39,0)),""))</f>
        <v/>
      </c>
      <c r="J1991" s="6" t="n"/>
      <c r="K1991" s="8" t="n"/>
      <c r="L1991" s="8" t="n"/>
      <c r="M1991" s="14">
        <f>IF($A1991="","",$J1991*$K1991)</f>
        <v/>
      </c>
      <c r="N1991" s="14">
        <f>IF($A1991="","",$M1991-$L1991)</f>
        <v/>
      </c>
      <c r="O1991" s="4" t="n"/>
      <c r="P1991" s="15">
        <f>IF($A1991="","",DATE(YEAR($A1991),MONTH($A1991),1))</f>
        <v/>
      </c>
      <c r="Q1991" s="16">
        <f>IF($H1991="","",$J1991*IFERROR(INDEX('Settings'!$L$10:$L$39,MATCH($H1991,'Settings'!$I$10:$I$39,0)),0))</f>
        <v/>
      </c>
      <c r="R1991" s="17">
        <f>IF($A1991="","",$A1991-WEEKDAY($A1991,2)+1)</f>
        <v/>
      </c>
    </row>
    <row r="1992">
      <c r="A1992" s="5" t="n"/>
      <c r="B1992" s="4" t="n"/>
      <c r="C1992" s="4" t="n"/>
      <c r="D1992" s="4" t="n"/>
      <c r="E1992" s="4" t="n"/>
      <c r="F1992" s="4" t="n"/>
      <c r="G1992" s="4" t="n"/>
      <c r="H1992" s="4" t="n"/>
      <c r="I1992" s="9">
        <f>IF($H1992="","",IFERROR(INDEX('Settings'!$J$10:$J$39,MATCH($H1992,'Settings'!$I$10:$I$39,0)),""))</f>
        <v/>
      </c>
      <c r="J1992" s="6" t="n"/>
      <c r="K1992" s="8" t="n"/>
      <c r="L1992" s="8" t="n"/>
      <c r="M1992" s="14">
        <f>IF($A1992="","",$J1992*$K1992)</f>
        <v/>
      </c>
      <c r="N1992" s="14">
        <f>IF($A1992="","",$M1992-$L1992)</f>
        <v/>
      </c>
      <c r="O1992" s="4" t="n"/>
      <c r="P1992" s="15">
        <f>IF($A1992="","",DATE(YEAR($A1992),MONTH($A1992),1))</f>
        <v/>
      </c>
      <c r="Q1992" s="16">
        <f>IF($H1992="","",$J1992*IFERROR(INDEX('Settings'!$L$10:$L$39,MATCH($H1992,'Settings'!$I$10:$I$39,0)),0))</f>
        <v/>
      </c>
      <c r="R1992" s="17">
        <f>IF($A1992="","",$A1992-WEEKDAY($A1992,2)+1)</f>
        <v/>
      </c>
    </row>
    <row r="1993">
      <c r="A1993" s="5" t="n"/>
      <c r="B1993" s="4" t="n"/>
      <c r="C1993" s="4" t="n"/>
      <c r="D1993" s="4" t="n"/>
      <c r="E1993" s="4" t="n"/>
      <c r="F1993" s="4" t="n"/>
      <c r="G1993" s="4" t="n"/>
      <c r="H1993" s="4" t="n"/>
      <c r="I1993" s="9">
        <f>IF($H1993="","",IFERROR(INDEX('Settings'!$J$10:$J$39,MATCH($H1993,'Settings'!$I$10:$I$39,0)),""))</f>
        <v/>
      </c>
      <c r="J1993" s="6" t="n"/>
      <c r="K1993" s="8" t="n"/>
      <c r="L1993" s="8" t="n"/>
      <c r="M1993" s="14">
        <f>IF($A1993="","",$J1993*$K1993)</f>
        <v/>
      </c>
      <c r="N1993" s="14">
        <f>IF($A1993="","",$M1993-$L1993)</f>
        <v/>
      </c>
      <c r="O1993" s="4" t="n"/>
      <c r="P1993" s="15">
        <f>IF($A1993="","",DATE(YEAR($A1993),MONTH($A1993),1))</f>
        <v/>
      </c>
      <c r="Q1993" s="16">
        <f>IF($H1993="","",$J1993*IFERROR(INDEX('Settings'!$L$10:$L$39,MATCH($H1993,'Settings'!$I$10:$I$39,0)),0))</f>
        <v/>
      </c>
      <c r="R1993" s="17">
        <f>IF($A1993="","",$A1993-WEEKDAY($A1993,2)+1)</f>
        <v/>
      </c>
    </row>
    <row r="1994">
      <c r="A1994" s="5" t="n"/>
      <c r="B1994" s="4" t="n"/>
      <c r="C1994" s="4" t="n"/>
      <c r="D1994" s="4" t="n"/>
      <c r="E1994" s="4" t="n"/>
      <c r="F1994" s="4" t="n"/>
      <c r="G1994" s="4" t="n"/>
      <c r="H1994" s="4" t="n"/>
      <c r="I1994" s="9">
        <f>IF($H1994="","",IFERROR(INDEX('Settings'!$J$10:$J$39,MATCH($H1994,'Settings'!$I$10:$I$39,0)),""))</f>
        <v/>
      </c>
      <c r="J1994" s="6" t="n"/>
      <c r="K1994" s="8" t="n"/>
      <c r="L1994" s="8" t="n"/>
      <c r="M1994" s="14">
        <f>IF($A1994="","",$J1994*$K1994)</f>
        <v/>
      </c>
      <c r="N1994" s="14">
        <f>IF($A1994="","",$M1994-$L1994)</f>
        <v/>
      </c>
      <c r="O1994" s="4" t="n"/>
      <c r="P1994" s="15">
        <f>IF($A1994="","",DATE(YEAR($A1994),MONTH($A1994),1))</f>
        <v/>
      </c>
      <c r="Q1994" s="16">
        <f>IF($H1994="","",$J1994*IFERROR(INDEX('Settings'!$L$10:$L$39,MATCH($H1994,'Settings'!$I$10:$I$39,0)),0))</f>
        <v/>
      </c>
      <c r="R1994" s="17">
        <f>IF($A1994="","",$A1994-WEEKDAY($A1994,2)+1)</f>
        <v/>
      </c>
    </row>
    <row r="1995">
      <c r="A1995" s="5" t="n"/>
      <c r="B1995" s="4" t="n"/>
      <c r="C1995" s="4" t="n"/>
      <c r="D1995" s="4" t="n"/>
      <c r="E1995" s="4" t="n"/>
      <c r="F1995" s="4" t="n"/>
      <c r="G1995" s="4" t="n"/>
      <c r="H1995" s="4" t="n"/>
      <c r="I1995" s="9">
        <f>IF($H1995="","",IFERROR(INDEX('Settings'!$J$10:$J$39,MATCH($H1995,'Settings'!$I$10:$I$39,0)),""))</f>
        <v/>
      </c>
      <c r="J1995" s="6" t="n"/>
      <c r="K1995" s="8" t="n"/>
      <c r="L1995" s="8" t="n"/>
      <c r="M1995" s="14">
        <f>IF($A1995="","",$J1995*$K1995)</f>
        <v/>
      </c>
      <c r="N1995" s="14">
        <f>IF($A1995="","",$M1995-$L1995)</f>
        <v/>
      </c>
      <c r="O1995" s="4" t="n"/>
      <c r="P1995" s="15">
        <f>IF($A1995="","",DATE(YEAR($A1995),MONTH($A1995),1))</f>
        <v/>
      </c>
      <c r="Q1995" s="16">
        <f>IF($H1995="","",$J1995*IFERROR(INDEX('Settings'!$L$10:$L$39,MATCH($H1995,'Settings'!$I$10:$I$39,0)),0))</f>
        <v/>
      </c>
      <c r="R1995" s="17">
        <f>IF($A1995="","",$A1995-WEEKDAY($A1995,2)+1)</f>
        <v/>
      </c>
    </row>
    <row r="1996">
      <c r="A1996" s="5" t="n"/>
      <c r="B1996" s="4" t="n"/>
      <c r="C1996" s="4" t="n"/>
      <c r="D1996" s="4" t="n"/>
      <c r="E1996" s="4" t="n"/>
      <c r="F1996" s="4" t="n"/>
      <c r="G1996" s="4" t="n"/>
      <c r="H1996" s="4" t="n"/>
      <c r="I1996" s="9">
        <f>IF($H1996="","",IFERROR(INDEX('Settings'!$J$10:$J$39,MATCH($H1996,'Settings'!$I$10:$I$39,0)),""))</f>
        <v/>
      </c>
      <c r="J1996" s="6" t="n"/>
      <c r="K1996" s="8" t="n"/>
      <c r="L1996" s="8" t="n"/>
      <c r="M1996" s="14">
        <f>IF($A1996="","",$J1996*$K1996)</f>
        <v/>
      </c>
      <c r="N1996" s="14">
        <f>IF($A1996="","",$M1996-$L1996)</f>
        <v/>
      </c>
      <c r="O1996" s="4" t="n"/>
      <c r="P1996" s="15">
        <f>IF($A1996="","",DATE(YEAR($A1996),MONTH($A1996),1))</f>
        <v/>
      </c>
      <c r="Q1996" s="16">
        <f>IF($H1996="","",$J1996*IFERROR(INDEX('Settings'!$L$10:$L$39,MATCH($H1996,'Settings'!$I$10:$I$39,0)),0))</f>
        <v/>
      </c>
      <c r="R1996" s="17">
        <f>IF($A1996="","",$A1996-WEEKDAY($A1996,2)+1)</f>
        <v/>
      </c>
    </row>
    <row r="1997">
      <c r="A1997" s="5" t="n"/>
      <c r="B1997" s="4" t="n"/>
      <c r="C1997" s="4" t="n"/>
      <c r="D1997" s="4" t="n"/>
      <c r="E1997" s="4" t="n"/>
      <c r="F1997" s="4" t="n"/>
      <c r="G1997" s="4" t="n"/>
      <c r="H1997" s="4" t="n"/>
      <c r="I1997" s="9">
        <f>IF($H1997="","",IFERROR(INDEX('Settings'!$J$10:$J$39,MATCH($H1997,'Settings'!$I$10:$I$39,0)),""))</f>
        <v/>
      </c>
      <c r="J1997" s="6" t="n"/>
      <c r="K1997" s="8" t="n"/>
      <c r="L1997" s="8" t="n"/>
      <c r="M1997" s="14">
        <f>IF($A1997="","",$J1997*$K1997)</f>
        <v/>
      </c>
      <c r="N1997" s="14">
        <f>IF($A1997="","",$M1997-$L1997)</f>
        <v/>
      </c>
      <c r="O1997" s="4" t="n"/>
      <c r="P1997" s="15">
        <f>IF($A1997="","",DATE(YEAR($A1997),MONTH($A1997),1))</f>
        <v/>
      </c>
      <c r="Q1997" s="16">
        <f>IF($H1997="","",$J1997*IFERROR(INDEX('Settings'!$L$10:$L$39,MATCH($H1997,'Settings'!$I$10:$I$39,0)),0))</f>
        <v/>
      </c>
      <c r="R1997" s="17">
        <f>IF($A1997="","",$A1997-WEEKDAY($A1997,2)+1)</f>
        <v/>
      </c>
    </row>
    <row r="1998">
      <c r="A1998" s="5" t="n"/>
      <c r="B1998" s="4" t="n"/>
      <c r="C1998" s="4" t="n"/>
      <c r="D1998" s="4" t="n"/>
      <c r="E1998" s="4" t="n"/>
      <c r="F1998" s="4" t="n"/>
      <c r="G1998" s="4" t="n"/>
      <c r="H1998" s="4" t="n"/>
      <c r="I1998" s="9">
        <f>IF($H1998="","",IFERROR(INDEX('Settings'!$J$10:$J$39,MATCH($H1998,'Settings'!$I$10:$I$39,0)),""))</f>
        <v/>
      </c>
      <c r="J1998" s="6" t="n"/>
      <c r="K1998" s="8" t="n"/>
      <c r="L1998" s="8" t="n"/>
      <c r="M1998" s="14">
        <f>IF($A1998="","",$J1998*$K1998)</f>
        <v/>
      </c>
      <c r="N1998" s="14">
        <f>IF($A1998="","",$M1998-$L1998)</f>
        <v/>
      </c>
      <c r="O1998" s="4" t="n"/>
      <c r="P1998" s="15">
        <f>IF($A1998="","",DATE(YEAR($A1998),MONTH($A1998),1))</f>
        <v/>
      </c>
      <c r="Q1998" s="16">
        <f>IF($H1998="","",$J1998*IFERROR(INDEX('Settings'!$L$10:$L$39,MATCH($H1998,'Settings'!$I$10:$I$39,0)),0))</f>
        <v/>
      </c>
      <c r="R1998" s="17">
        <f>IF($A1998="","",$A1998-WEEKDAY($A1998,2)+1)</f>
        <v/>
      </c>
    </row>
    <row r="1999">
      <c r="A1999" s="5" t="n"/>
      <c r="B1999" s="4" t="n"/>
      <c r="C1999" s="4" t="n"/>
      <c r="D1999" s="4" t="n"/>
      <c r="E1999" s="4" t="n"/>
      <c r="F1999" s="4" t="n"/>
      <c r="G1999" s="4" t="n"/>
      <c r="H1999" s="4" t="n"/>
      <c r="I1999" s="9">
        <f>IF($H1999="","",IFERROR(INDEX('Settings'!$J$10:$J$39,MATCH($H1999,'Settings'!$I$10:$I$39,0)),""))</f>
        <v/>
      </c>
      <c r="J1999" s="6" t="n"/>
      <c r="K1999" s="8" t="n"/>
      <c r="L1999" s="8" t="n"/>
      <c r="M1999" s="14">
        <f>IF($A1999="","",$J1999*$K1999)</f>
        <v/>
      </c>
      <c r="N1999" s="14">
        <f>IF($A1999="","",$M1999-$L1999)</f>
        <v/>
      </c>
      <c r="O1999" s="4" t="n"/>
      <c r="P1999" s="15">
        <f>IF($A1999="","",DATE(YEAR($A1999),MONTH($A1999),1))</f>
        <v/>
      </c>
      <c r="Q1999" s="16">
        <f>IF($H1999="","",$J1999*IFERROR(INDEX('Settings'!$L$10:$L$39,MATCH($H1999,'Settings'!$I$10:$I$39,0)),0))</f>
        <v/>
      </c>
      <c r="R1999" s="17">
        <f>IF($A1999="","",$A1999-WEEKDAY($A1999,2)+1)</f>
        <v/>
      </c>
    </row>
    <row r="2000">
      <c r="A2000" s="5" t="n"/>
      <c r="B2000" s="4" t="n"/>
      <c r="C2000" s="4" t="n"/>
      <c r="D2000" s="4" t="n"/>
      <c r="E2000" s="4" t="n"/>
      <c r="F2000" s="4" t="n"/>
      <c r="G2000" s="4" t="n"/>
      <c r="H2000" s="4" t="n"/>
      <c r="I2000" s="9">
        <f>IF($H2000="","",IFERROR(INDEX('Settings'!$J$10:$J$39,MATCH($H2000,'Settings'!$I$10:$I$39,0)),""))</f>
        <v/>
      </c>
      <c r="J2000" s="6" t="n"/>
      <c r="K2000" s="8" t="n"/>
      <c r="L2000" s="8" t="n"/>
      <c r="M2000" s="14">
        <f>IF($A2000="","",$J2000*$K2000)</f>
        <v/>
      </c>
      <c r="N2000" s="14">
        <f>IF($A2000="","",$M2000-$L2000)</f>
        <v/>
      </c>
      <c r="O2000" s="4" t="n"/>
      <c r="P2000" s="15">
        <f>IF($A2000="","",DATE(YEAR($A2000),MONTH($A2000),1))</f>
        <v/>
      </c>
      <c r="Q2000" s="16">
        <f>IF($H2000="","",$J2000*IFERROR(INDEX('Settings'!$L$10:$L$39,MATCH($H2000,'Settings'!$I$10:$I$39,0)),0))</f>
        <v/>
      </c>
      <c r="R2000" s="17">
        <f>IF($A2000="","",$A2000-WEEKDAY($A2000,2)+1)</f>
        <v/>
      </c>
    </row>
    <row r="2001">
      <c r="A2001" s="5" t="n"/>
      <c r="B2001" s="4" t="n"/>
      <c r="C2001" s="4" t="n"/>
      <c r="D2001" s="4" t="n"/>
      <c r="E2001" s="4" t="n"/>
      <c r="F2001" s="4" t="n"/>
      <c r="G2001" s="4" t="n"/>
      <c r="H2001" s="4" t="n"/>
      <c r="I2001" s="9">
        <f>IF($H2001="","",IFERROR(INDEX('Settings'!$J$10:$J$39,MATCH($H2001,'Settings'!$I$10:$I$39,0)),""))</f>
        <v/>
      </c>
      <c r="J2001" s="6" t="n"/>
      <c r="K2001" s="8" t="n"/>
      <c r="L2001" s="8" t="n"/>
      <c r="M2001" s="14">
        <f>IF($A2001="","",$J2001*$K2001)</f>
        <v/>
      </c>
      <c r="N2001" s="14">
        <f>IF($A2001="","",$M2001-$L2001)</f>
        <v/>
      </c>
      <c r="O2001" s="4" t="n"/>
      <c r="P2001" s="15">
        <f>IF($A2001="","",DATE(YEAR($A2001),MONTH($A2001),1))</f>
        <v/>
      </c>
      <c r="Q2001" s="16">
        <f>IF($H2001="","",$J2001*IFERROR(INDEX('Settings'!$L$10:$L$39,MATCH($H2001,'Settings'!$I$10:$I$39,0)),0))</f>
        <v/>
      </c>
      <c r="R2001" s="17">
        <f>IF($A2001="","",$A2001-WEEKDAY($A2001,2)+1)</f>
        <v/>
      </c>
    </row>
    <row r="2002">
      <c r="A2002" s="5" t="n"/>
      <c r="B2002" s="4" t="n"/>
      <c r="C2002" s="4" t="n"/>
      <c r="D2002" s="4" t="n"/>
      <c r="E2002" s="4" t="n"/>
      <c r="F2002" s="4" t="n"/>
      <c r="G2002" s="4" t="n"/>
      <c r="H2002" s="4" t="n"/>
      <c r="I2002" s="9">
        <f>IF($H2002="","",IFERROR(INDEX('Settings'!$J$10:$J$39,MATCH($H2002,'Settings'!$I$10:$I$39,0)),""))</f>
        <v/>
      </c>
      <c r="J2002" s="6" t="n"/>
      <c r="K2002" s="8" t="n"/>
      <c r="L2002" s="8" t="n"/>
      <c r="M2002" s="14">
        <f>IF($A2002="","",$J2002*$K2002)</f>
        <v/>
      </c>
      <c r="N2002" s="14">
        <f>IF($A2002="","",$M2002-$L2002)</f>
        <v/>
      </c>
      <c r="O2002" s="4" t="n"/>
      <c r="P2002" s="15">
        <f>IF($A2002="","",DATE(YEAR($A2002),MONTH($A2002),1))</f>
        <v/>
      </c>
      <c r="Q2002" s="16">
        <f>IF($H2002="","",$J2002*IFERROR(INDEX('Settings'!$L$10:$L$39,MATCH($H2002,'Settings'!$I$10:$I$39,0)),0))</f>
        <v/>
      </c>
      <c r="R2002" s="17">
        <f>IF($A2002="","",$A2002-WEEKDAY($A2002,2)+1)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R2002"/>
  <mergeCells count="1">
    <mergeCell ref="A1:R1"/>
  </mergeCells>
  <dataValidations count="7">
    <dataValidation sqref="B3:B2002" showDropDown="0" showInputMessage="0" showErrorMessage="0" allowBlank="1" errorTitle="Not in the list" error="Pick from the list." type="list">
      <formula1>=Branches</formula1>
    </dataValidation>
    <dataValidation sqref="C3:C2002" showDropDown="0" showInputMessage="0" showErrorMessage="0" allowBlank="1" errorTitle="Not in the list" error="Pick from the list." type="list">
      <formula1>=Rooms</formula1>
    </dataValidation>
    <dataValidation sqref="D3:D2002" showDropDown="0" showInputMessage="0" showErrorMessage="0" allowBlank="1" errorTitle="Not in the list" error="Pick from the list." type="list">
      <formula1>=Doctors</formula1>
    </dataValidation>
    <dataValidation sqref="F3:F2002" showDropDown="0" showInputMessage="0" showErrorMessage="0" allowBlank="1" errorTitle="Not in the list" error="Pick from the list." type="list">
      <formula1>=PatientTypes</formula1>
    </dataValidation>
    <dataValidation sqref="G3:G2002" showDropDown="0" showInputMessage="0" showErrorMessage="0" allowBlank="1" errorTitle="Not in the list" error="Pick from the list." type="list">
      <formula1>=Sources</formula1>
    </dataValidation>
    <dataValidation sqref="H3:H2002" showDropDown="0" showInputMessage="0" showErrorMessage="0" allowBlank="1" errorTitle="Not in the list" error="Pick from the list." type="list">
      <formula1>=Services</formula1>
    </dataValidation>
    <dataValidation sqref="O3:O2002" showDropDown="0" showInputMessage="0" showErrorMessage="0" allowBlank="1" errorTitle="Not in the list" error="Pick from the list." type="list">
      <formula1>=Methods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F19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3" customWidth="1" min="4" max="4"/>
    <col width="14" customWidth="1" min="5" max="5"/>
    <col width="14" customWidth="1" min="6" max="6"/>
  </cols>
  <sheetData>
    <row r="1">
      <c r="A1" s="18">
        <f>'Settings'!B3</f>
        <v/>
      </c>
    </row>
    <row r="2">
      <c r="A2" s="19" t="inlineStr">
        <is>
          <t>Revenue by doctor</t>
        </is>
      </c>
    </row>
    <row r="3">
      <c r="A3" s="2">
        <f>"Period: "&amp;TEXT('Settings'!$B$5,"yyyy-mm-dd")&amp;" → "&amp;TEXT('Settings'!$B$6,"yyyy-mm-dd")&amp;"   ·   Amounts in "&amp;'Settings'!$B$4</f>
        <v/>
      </c>
    </row>
    <row r="5" ht="32" customHeight="1">
      <c r="A5" s="7" t="inlineStr">
        <is>
          <t>Doctor</t>
        </is>
      </c>
      <c r="B5" s="7" t="inlineStr">
        <is>
          <t>Net revenue</t>
        </is>
      </c>
      <c r="C5" s="7" t="inlineStr">
        <is>
          <t>Visits</t>
        </is>
      </c>
      <c r="D5" s="7" t="inlineStr">
        <is>
          <t>Average ticket</t>
        </is>
      </c>
      <c r="E5" s="7" t="inlineStr">
        <is>
          <t>Scheduled hours in period</t>
        </is>
      </c>
      <c r="F5" s="7" t="inlineStr">
        <is>
          <t>Revenue per scheduled hour</t>
        </is>
      </c>
    </row>
    <row r="6">
      <c r="A6" s="9">
        <f>IF(INDEX('Settings'!$F$10:$F$39,1)="","",INDEX('Settings'!$F$10:$F$39,1))</f>
        <v/>
      </c>
      <c r="B6" s="20">
        <f>IF($A6="","",SUMIFS('Transactions'!$N$3:$N$2002,'Transactions'!$D$3:$D$2002,$A6,'Transactions'!$A$3:$A$2002,"&gt;="&amp;'Settings'!$B$5,'Transactions'!$A$3:$A$2002,"&lt;="&amp;'Settings'!$B$6))</f>
        <v/>
      </c>
      <c r="C6" s="16">
        <f>IF($A6="","",COUNTIFS('Transactions'!$D$3:$D$2002,$A6,'Transactions'!$A$3:$A$2002,"&gt;="&amp;'Settings'!$B$5,'Transactions'!$A$3:$A$2002,"&lt;="&amp;'Settings'!$B$6))</f>
        <v/>
      </c>
      <c r="D6" s="20">
        <f>IF($A6="","",IFERROR(B6/C6,0))</f>
        <v/>
      </c>
      <c r="E6" s="16">
        <f>IF($A6="","",ROUND(INDEX('Settings'!$G$10:$G$39,1)*(('Settings'!$B$6-'Settings'!$B$5+1)*'Settings'!$B$7/7)/'Settings'!$B$7,0))</f>
        <v/>
      </c>
      <c r="F6" s="20">
        <f>IF($A6="","",IFERROR(B6/E6,0))</f>
        <v/>
      </c>
    </row>
    <row r="7">
      <c r="A7" s="9">
        <f>IF(INDEX('Settings'!$F$10:$F$39,2)="","",INDEX('Settings'!$F$10:$F$39,2))</f>
        <v/>
      </c>
      <c r="B7" s="20">
        <f>IF($A7="","",SUMIFS('Transactions'!$N$3:$N$2002,'Transactions'!$D$3:$D$2002,$A7,'Transactions'!$A$3:$A$2002,"&gt;="&amp;'Settings'!$B$5,'Transactions'!$A$3:$A$2002,"&lt;="&amp;'Settings'!$B$6))</f>
        <v/>
      </c>
      <c r="C7" s="16">
        <f>IF($A7="","",COUNTIFS('Transactions'!$D$3:$D$2002,$A7,'Transactions'!$A$3:$A$2002,"&gt;="&amp;'Settings'!$B$5,'Transactions'!$A$3:$A$2002,"&lt;="&amp;'Settings'!$B$6))</f>
        <v/>
      </c>
      <c r="D7" s="20">
        <f>IF($A7="","",IFERROR(B7/C7,0))</f>
        <v/>
      </c>
      <c r="E7" s="16">
        <f>IF($A7="","",ROUND(INDEX('Settings'!$G$10:$G$39,2)*(('Settings'!$B$6-'Settings'!$B$5+1)*'Settings'!$B$7/7)/'Settings'!$B$7,0))</f>
        <v/>
      </c>
      <c r="F7" s="20">
        <f>IF($A7="","",IFERROR(B7/E7,0))</f>
        <v/>
      </c>
    </row>
    <row r="8">
      <c r="A8" s="9">
        <f>IF(INDEX('Settings'!$F$10:$F$39,3)="","",INDEX('Settings'!$F$10:$F$39,3))</f>
        <v/>
      </c>
      <c r="B8" s="20">
        <f>IF($A8="","",SUMIFS('Transactions'!$N$3:$N$2002,'Transactions'!$D$3:$D$2002,$A8,'Transactions'!$A$3:$A$2002,"&gt;="&amp;'Settings'!$B$5,'Transactions'!$A$3:$A$2002,"&lt;="&amp;'Settings'!$B$6))</f>
        <v/>
      </c>
      <c r="C8" s="16">
        <f>IF($A8="","",COUNTIFS('Transactions'!$D$3:$D$2002,$A8,'Transactions'!$A$3:$A$2002,"&gt;="&amp;'Settings'!$B$5,'Transactions'!$A$3:$A$2002,"&lt;="&amp;'Settings'!$B$6))</f>
        <v/>
      </c>
      <c r="D8" s="20">
        <f>IF($A8="","",IFERROR(B8/C8,0))</f>
        <v/>
      </c>
      <c r="E8" s="16">
        <f>IF($A8="","",ROUND(INDEX('Settings'!$G$10:$G$39,3)*(('Settings'!$B$6-'Settings'!$B$5+1)*'Settings'!$B$7/7)/'Settings'!$B$7,0))</f>
        <v/>
      </c>
      <c r="F8" s="20">
        <f>IF($A8="","",IFERROR(B8/E8,0))</f>
        <v/>
      </c>
    </row>
    <row r="9">
      <c r="A9" s="9">
        <f>IF(INDEX('Settings'!$F$10:$F$39,4)="","",INDEX('Settings'!$F$10:$F$39,4))</f>
        <v/>
      </c>
      <c r="B9" s="20">
        <f>IF($A9="","",SUMIFS('Transactions'!$N$3:$N$2002,'Transactions'!$D$3:$D$2002,$A9,'Transactions'!$A$3:$A$2002,"&gt;="&amp;'Settings'!$B$5,'Transactions'!$A$3:$A$2002,"&lt;="&amp;'Settings'!$B$6))</f>
        <v/>
      </c>
      <c r="C9" s="16">
        <f>IF($A9="","",COUNTIFS('Transactions'!$D$3:$D$2002,$A9,'Transactions'!$A$3:$A$2002,"&gt;="&amp;'Settings'!$B$5,'Transactions'!$A$3:$A$2002,"&lt;="&amp;'Settings'!$B$6))</f>
        <v/>
      </c>
      <c r="D9" s="20">
        <f>IF($A9="","",IFERROR(B9/C9,0))</f>
        <v/>
      </c>
      <c r="E9" s="16">
        <f>IF($A9="","",ROUND(INDEX('Settings'!$G$10:$G$39,4)*(('Settings'!$B$6-'Settings'!$B$5+1)*'Settings'!$B$7/7)/'Settings'!$B$7,0))</f>
        <v/>
      </c>
      <c r="F9" s="20">
        <f>IF($A9="","",IFERROR(B9/E9,0))</f>
        <v/>
      </c>
    </row>
    <row r="10">
      <c r="A10" s="9">
        <f>IF(INDEX('Settings'!$F$10:$F$39,5)="","",INDEX('Settings'!$F$10:$F$39,5))</f>
        <v/>
      </c>
      <c r="B10" s="20">
        <f>IF($A10="","",SUMIFS('Transactions'!$N$3:$N$2002,'Transactions'!$D$3:$D$2002,$A10,'Transactions'!$A$3:$A$2002,"&gt;="&amp;'Settings'!$B$5,'Transactions'!$A$3:$A$2002,"&lt;="&amp;'Settings'!$B$6))</f>
        <v/>
      </c>
      <c r="C10" s="16">
        <f>IF($A10="","",COUNTIFS('Transactions'!$D$3:$D$2002,$A10,'Transactions'!$A$3:$A$2002,"&gt;="&amp;'Settings'!$B$5,'Transactions'!$A$3:$A$2002,"&lt;="&amp;'Settings'!$B$6))</f>
        <v/>
      </c>
      <c r="D10" s="20">
        <f>IF($A10="","",IFERROR(B10/C10,0))</f>
        <v/>
      </c>
      <c r="E10" s="16">
        <f>IF($A10="","",ROUND(INDEX('Settings'!$G$10:$G$39,5)*(('Settings'!$B$6-'Settings'!$B$5+1)*'Settings'!$B$7/7)/'Settings'!$B$7,0))</f>
        <v/>
      </c>
      <c r="F10" s="20">
        <f>IF($A10="","",IFERROR(B10/E10,0))</f>
        <v/>
      </c>
    </row>
    <row r="11">
      <c r="A11" s="9">
        <f>IF(INDEX('Settings'!$F$10:$F$39,6)="","",INDEX('Settings'!$F$10:$F$39,6))</f>
        <v/>
      </c>
      <c r="B11" s="20">
        <f>IF($A11="","",SUMIFS('Transactions'!$N$3:$N$2002,'Transactions'!$D$3:$D$2002,$A11,'Transactions'!$A$3:$A$2002,"&gt;="&amp;'Settings'!$B$5,'Transactions'!$A$3:$A$2002,"&lt;="&amp;'Settings'!$B$6))</f>
        <v/>
      </c>
      <c r="C11" s="16">
        <f>IF($A11="","",COUNTIFS('Transactions'!$D$3:$D$2002,$A11,'Transactions'!$A$3:$A$2002,"&gt;="&amp;'Settings'!$B$5,'Transactions'!$A$3:$A$2002,"&lt;="&amp;'Settings'!$B$6))</f>
        <v/>
      </c>
      <c r="D11" s="20">
        <f>IF($A11="","",IFERROR(B11/C11,0))</f>
        <v/>
      </c>
      <c r="E11" s="16">
        <f>IF($A11="","",ROUND(INDEX('Settings'!$G$10:$G$39,6)*(('Settings'!$B$6-'Settings'!$B$5+1)*'Settings'!$B$7/7)/'Settings'!$B$7,0))</f>
        <v/>
      </c>
      <c r="F11" s="20">
        <f>IF($A11="","",IFERROR(B11/E11,0))</f>
        <v/>
      </c>
    </row>
    <row r="12">
      <c r="A12" s="9">
        <f>IF(INDEX('Settings'!$F$10:$F$39,7)="","",INDEX('Settings'!$F$10:$F$39,7))</f>
        <v/>
      </c>
      <c r="B12" s="20">
        <f>IF($A12="","",SUMIFS('Transactions'!$N$3:$N$2002,'Transactions'!$D$3:$D$2002,$A12,'Transactions'!$A$3:$A$2002,"&gt;="&amp;'Settings'!$B$5,'Transactions'!$A$3:$A$2002,"&lt;="&amp;'Settings'!$B$6))</f>
        <v/>
      </c>
      <c r="C12" s="16">
        <f>IF($A12="","",COUNTIFS('Transactions'!$D$3:$D$2002,$A12,'Transactions'!$A$3:$A$2002,"&gt;="&amp;'Settings'!$B$5,'Transactions'!$A$3:$A$2002,"&lt;="&amp;'Settings'!$B$6))</f>
        <v/>
      </c>
      <c r="D12" s="20">
        <f>IF($A12="","",IFERROR(B12/C12,0))</f>
        <v/>
      </c>
      <c r="E12" s="16">
        <f>IF($A12="","",ROUND(INDEX('Settings'!$G$10:$G$39,7)*(('Settings'!$B$6-'Settings'!$B$5+1)*'Settings'!$B$7/7)/'Settings'!$B$7,0))</f>
        <v/>
      </c>
      <c r="F12" s="20">
        <f>IF($A12="","",IFERROR(B12/E12,0))</f>
        <v/>
      </c>
    </row>
    <row r="13">
      <c r="A13" s="9">
        <f>IF(INDEX('Settings'!$F$10:$F$39,8)="","",INDEX('Settings'!$F$10:$F$39,8))</f>
        <v/>
      </c>
      <c r="B13" s="20">
        <f>IF($A13="","",SUMIFS('Transactions'!$N$3:$N$2002,'Transactions'!$D$3:$D$2002,$A13,'Transactions'!$A$3:$A$2002,"&gt;="&amp;'Settings'!$B$5,'Transactions'!$A$3:$A$2002,"&lt;="&amp;'Settings'!$B$6))</f>
        <v/>
      </c>
      <c r="C13" s="16">
        <f>IF($A13="","",COUNTIFS('Transactions'!$D$3:$D$2002,$A13,'Transactions'!$A$3:$A$2002,"&gt;="&amp;'Settings'!$B$5,'Transactions'!$A$3:$A$2002,"&lt;="&amp;'Settings'!$B$6))</f>
        <v/>
      </c>
      <c r="D13" s="20">
        <f>IF($A13="","",IFERROR(B13/C13,0))</f>
        <v/>
      </c>
      <c r="E13" s="16">
        <f>IF($A13="","",ROUND(INDEX('Settings'!$G$10:$G$39,8)*(('Settings'!$B$6-'Settings'!$B$5+1)*'Settings'!$B$7/7)/'Settings'!$B$7,0))</f>
        <v/>
      </c>
      <c r="F13" s="20">
        <f>IF($A13="","",IFERROR(B13/E13,0))</f>
        <v/>
      </c>
    </row>
    <row r="14">
      <c r="A14" s="9">
        <f>IF(INDEX('Settings'!$F$10:$F$39,9)="","",INDEX('Settings'!$F$10:$F$39,9))</f>
        <v/>
      </c>
      <c r="B14" s="20">
        <f>IF($A14="","",SUMIFS('Transactions'!$N$3:$N$2002,'Transactions'!$D$3:$D$2002,$A14,'Transactions'!$A$3:$A$2002,"&gt;="&amp;'Settings'!$B$5,'Transactions'!$A$3:$A$2002,"&lt;="&amp;'Settings'!$B$6))</f>
        <v/>
      </c>
      <c r="C14" s="16">
        <f>IF($A14="","",COUNTIFS('Transactions'!$D$3:$D$2002,$A14,'Transactions'!$A$3:$A$2002,"&gt;="&amp;'Settings'!$B$5,'Transactions'!$A$3:$A$2002,"&lt;="&amp;'Settings'!$B$6))</f>
        <v/>
      </c>
      <c r="D14" s="20">
        <f>IF($A14="","",IFERROR(B14/C14,0))</f>
        <v/>
      </c>
      <c r="E14" s="16">
        <f>IF($A14="","",ROUND(INDEX('Settings'!$G$10:$G$39,9)*(('Settings'!$B$6-'Settings'!$B$5+1)*'Settings'!$B$7/7)/'Settings'!$B$7,0))</f>
        <v/>
      </c>
      <c r="F14" s="20">
        <f>IF($A14="","",IFERROR(B14/E14,0))</f>
        <v/>
      </c>
    </row>
    <row r="15">
      <c r="A15" s="9">
        <f>IF(INDEX('Settings'!$F$10:$F$39,10)="","",INDEX('Settings'!$F$10:$F$39,10))</f>
        <v/>
      </c>
      <c r="B15" s="20">
        <f>IF($A15="","",SUMIFS('Transactions'!$N$3:$N$2002,'Transactions'!$D$3:$D$2002,$A15,'Transactions'!$A$3:$A$2002,"&gt;="&amp;'Settings'!$B$5,'Transactions'!$A$3:$A$2002,"&lt;="&amp;'Settings'!$B$6))</f>
        <v/>
      </c>
      <c r="C15" s="16">
        <f>IF($A15="","",COUNTIFS('Transactions'!$D$3:$D$2002,$A15,'Transactions'!$A$3:$A$2002,"&gt;="&amp;'Settings'!$B$5,'Transactions'!$A$3:$A$2002,"&lt;="&amp;'Settings'!$B$6))</f>
        <v/>
      </c>
      <c r="D15" s="20">
        <f>IF($A15="","",IFERROR(B15/C15,0))</f>
        <v/>
      </c>
      <c r="E15" s="16">
        <f>IF($A15="","",ROUND(INDEX('Settings'!$G$10:$G$39,10)*(('Settings'!$B$6-'Settings'!$B$5+1)*'Settings'!$B$7/7)/'Settings'!$B$7,0))</f>
        <v/>
      </c>
      <c r="F15" s="20">
        <f>IF($A15="","",IFERROR(B15/E15,0))</f>
        <v/>
      </c>
    </row>
    <row r="16">
      <c r="A16" s="9">
        <f>IF(INDEX('Settings'!$F$10:$F$39,11)="","",INDEX('Settings'!$F$10:$F$39,11))</f>
        <v/>
      </c>
      <c r="B16" s="20">
        <f>IF($A16="","",SUMIFS('Transactions'!$N$3:$N$2002,'Transactions'!$D$3:$D$2002,$A16,'Transactions'!$A$3:$A$2002,"&gt;="&amp;'Settings'!$B$5,'Transactions'!$A$3:$A$2002,"&lt;="&amp;'Settings'!$B$6))</f>
        <v/>
      </c>
      <c r="C16" s="16">
        <f>IF($A16="","",COUNTIFS('Transactions'!$D$3:$D$2002,$A16,'Transactions'!$A$3:$A$2002,"&gt;="&amp;'Settings'!$B$5,'Transactions'!$A$3:$A$2002,"&lt;="&amp;'Settings'!$B$6))</f>
        <v/>
      </c>
      <c r="D16" s="20">
        <f>IF($A16="","",IFERROR(B16/C16,0))</f>
        <v/>
      </c>
      <c r="E16" s="16">
        <f>IF($A16="","",ROUND(INDEX('Settings'!$G$10:$G$39,11)*(('Settings'!$B$6-'Settings'!$B$5+1)*'Settings'!$B$7/7)/'Settings'!$B$7,0))</f>
        <v/>
      </c>
      <c r="F16" s="20">
        <f>IF($A16="","",IFERROR(B16/E16,0))</f>
        <v/>
      </c>
    </row>
    <row r="17">
      <c r="A17" s="9">
        <f>IF(INDEX('Settings'!$F$10:$F$39,12)="","",INDEX('Settings'!$F$10:$F$39,12))</f>
        <v/>
      </c>
      <c r="B17" s="20">
        <f>IF($A17="","",SUMIFS('Transactions'!$N$3:$N$2002,'Transactions'!$D$3:$D$2002,$A17,'Transactions'!$A$3:$A$2002,"&gt;="&amp;'Settings'!$B$5,'Transactions'!$A$3:$A$2002,"&lt;="&amp;'Settings'!$B$6))</f>
        <v/>
      </c>
      <c r="C17" s="16">
        <f>IF($A17="","",COUNTIFS('Transactions'!$D$3:$D$2002,$A17,'Transactions'!$A$3:$A$2002,"&gt;="&amp;'Settings'!$B$5,'Transactions'!$A$3:$A$2002,"&lt;="&amp;'Settings'!$B$6))</f>
        <v/>
      </c>
      <c r="D17" s="20">
        <f>IF($A17="","",IFERROR(B17/C17,0))</f>
        <v/>
      </c>
      <c r="E17" s="16">
        <f>IF($A17="","",ROUND(INDEX('Settings'!$G$10:$G$39,12)*(('Settings'!$B$6-'Settings'!$B$5+1)*'Settings'!$B$7/7)/'Settings'!$B$7,0))</f>
        <v/>
      </c>
      <c r="F17" s="20">
        <f>IF($A17="","",IFERROR(B17/E17,0))</f>
        <v/>
      </c>
    </row>
    <row r="18">
      <c r="A18" s="3" t="inlineStr">
        <is>
          <t>Total</t>
        </is>
      </c>
      <c r="B18" s="21">
        <f>SUM(B6:B17)</f>
        <v/>
      </c>
      <c r="C18" s="22">
        <f>SUM(C6:C17)</f>
        <v/>
      </c>
      <c r="D18" s="21">
        <f>IFERROR(B18/C18,0)</f>
        <v/>
      </c>
      <c r="E18" s="22">
        <f>SUM(E6:E17)</f>
        <v/>
      </c>
      <c r="F18" s="21">
        <f>IFERROR(B18/E18,0)</f>
        <v/>
      </c>
    </row>
    <row r="19">
      <c r="A19" s="2" t="inlineStr">
        <is>
          <t>Scheduled hours = weekly hours from Settings × open days in the period ÷ days open per week.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G19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0" customWidth="1" min="4" max="4"/>
    <col width="13" customWidth="1" min="5" max="5"/>
    <col width="15" customWidth="1" min="6" max="6"/>
    <col width="13" customWidth="1" min="7" max="7"/>
  </cols>
  <sheetData>
    <row r="1">
      <c r="A1" s="18">
        <f>'Settings'!B3</f>
        <v/>
      </c>
    </row>
    <row r="2">
      <c r="A2" s="19" t="inlineStr">
        <is>
          <t>Revenue and occupancy by room</t>
        </is>
      </c>
    </row>
    <row r="3">
      <c r="A3" s="2">
        <f>"Period: "&amp;TEXT('Settings'!$B$5,"yyyy-mm-dd")&amp;" → "&amp;TEXT('Settings'!$B$6,"yyyy-mm-dd")&amp;"   ·   Amounts in "&amp;'Settings'!$B$4</f>
        <v/>
      </c>
    </row>
    <row r="5" ht="32" customHeight="1">
      <c r="A5" s="7" t="inlineStr">
        <is>
          <t>Room</t>
        </is>
      </c>
      <c r="B5" s="7" t="inlineStr">
        <is>
          <t>Branch</t>
        </is>
      </c>
      <c r="C5" s="7" t="inlineStr">
        <is>
          <t>Net revenue</t>
        </is>
      </c>
      <c r="D5" s="7" t="inlineStr">
        <is>
          <t>Visits</t>
        </is>
      </c>
      <c r="E5" s="7" t="inlineStr">
        <is>
          <t>Revenue per open day</t>
        </is>
      </c>
      <c r="F5" s="7" t="inlineStr">
        <is>
          <t>Minutes booked</t>
        </is>
      </c>
      <c r="G5" s="7" t="inlineStr">
        <is>
          <t>Occupancy (proxy)</t>
        </is>
      </c>
    </row>
    <row r="6">
      <c r="A6" s="9">
        <f>IF(INDEX('Settings'!$C$10:$C$39,1)="","",INDEX('Settings'!$C$10:$C$39,1))</f>
        <v/>
      </c>
      <c r="B6" s="9">
        <f>IF($A6="","",INDEX('Settings'!$D$10:$D$39,1))</f>
        <v/>
      </c>
      <c r="C6" s="20">
        <f>IF($A6="","",SUMIFS('Transactions'!$N$3:$N$2002,'Transactions'!$C$3:$C$2002,$A6,'Transactions'!$A$3:$A$2002,"&gt;="&amp;'Settings'!$B$5,'Transactions'!$A$3:$A$2002,"&lt;="&amp;'Settings'!$B$6))</f>
        <v/>
      </c>
      <c r="D6" s="16">
        <f>IF($A6="","",COUNTIFS('Transactions'!$C$3:$C$2002,$A6,'Transactions'!$A$3:$A$2002,"&gt;="&amp;'Settings'!$B$5,'Transactions'!$A$3:$A$2002,"&lt;="&amp;'Settings'!$B$6))</f>
        <v/>
      </c>
      <c r="E6" s="20">
        <f>IF($A6="","",IFERROR(C6/(('Settings'!$B$6-'Settings'!$B$5+1)*'Settings'!$B$7/7),0))</f>
        <v/>
      </c>
      <c r="F6" s="16">
        <f>IF($A6="","",SUMIFS('Transactions'!$Q$3:$Q$2002,'Transactions'!$C$3:$C$2002,$A6,'Transactions'!$A$3:$A$2002,"&gt;="&amp;'Settings'!$B$5,'Transactions'!$A$3:$A$2002,"&lt;="&amp;'Settings'!$B$6))</f>
        <v/>
      </c>
      <c r="G6" s="23">
        <f>IF($A6="","",IFERROR(F6/((('Settings'!$B$6-'Settings'!$B$5+1)*'Settings'!$B$7/7)*'Settings'!$B$8),0))</f>
        <v/>
      </c>
    </row>
    <row r="7">
      <c r="A7" s="9">
        <f>IF(INDEX('Settings'!$C$10:$C$39,2)="","",INDEX('Settings'!$C$10:$C$39,2))</f>
        <v/>
      </c>
      <c r="B7" s="9">
        <f>IF($A7="","",INDEX('Settings'!$D$10:$D$39,2))</f>
        <v/>
      </c>
      <c r="C7" s="20">
        <f>IF($A7="","",SUMIFS('Transactions'!$N$3:$N$2002,'Transactions'!$C$3:$C$2002,$A7,'Transactions'!$A$3:$A$2002,"&gt;="&amp;'Settings'!$B$5,'Transactions'!$A$3:$A$2002,"&lt;="&amp;'Settings'!$B$6))</f>
        <v/>
      </c>
      <c r="D7" s="16">
        <f>IF($A7="","",COUNTIFS('Transactions'!$C$3:$C$2002,$A7,'Transactions'!$A$3:$A$2002,"&gt;="&amp;'Settings'!$B$5,'Transactions'!$A$3:$A$2002,"&lt;="&amp;'Settings'!$B$6))</f>
        <v/>
      </c>
      <c r="E7" s="20">
        <f>IF($A7="","",IFERROR(C7/(('Settings'!$B$6-'Settings'!$B$5+1)*'Settings'!$B$7/7),0))</f>
        <v/>
      </c>
      <c r="F7" s="16">
        <f>IF($A7="","",SUMIFS('Transactions'!$Q$3:$Q$2002,'Transactions'!$C$3:$C$2002,$A7,'Transactions'!$A$3:$A$2002,"&gt;="&amp;'Settings'!$B$5,'Transactions'!$A$3:$A$2002,"&lt;="&amp;'Settings'!$B$6))</f>
        <v/>
      </c>
      <c r="G7" s="23">
        <f>IF($A7="","",IFERROR(F7/((('Settings'!$B$6-'Settings'!$B$5+1)*'Settings'!$B$7/7)*'Settings'!$B$8),0))</f>
        <v/>
      </c>
    </row>
    <row r="8">
      <c r="A8" s="9">
        <f>IF(INDEX('Settings'!$C$10:$C$39,3)="","",INDEX('Settings'!$C$10:$C$39,3))</f>
        <v/>
      </c>
      <c r="B8" s="9">
        <f>IF($A8="","",INDEX('Settings'!$D$10:$D$39,3))</f>
        <v/>
      </c>
      <c r="C8" s="20">
        <f>IF($A8="","",SUMIFS('Transactions'!$N$3:$N$2002,'Transactions'!$C$3:$C$2002,$A8,'Transactions'!$A$3:$A$2002,"&gt;="&amp;'Settings'!$B$5,'Transactions'!$A$3:$A$2002,"&lt;="&amp;'Settings'!$B$6))</f>
        <v/>
      </c>
      <c r="D8" s="16">
        <f>IF($A8="","",COUNTIFS('Transactions'!$C$3:$C$2002,$A8,'Transactions'!$A$3:$A$2002,"&gt;="&amp;'Settings'!$B$5,'Transactions'!$A$3:$A$2002,"&lt;="&amp;'Settings'!$B$6))</f>
        <v/>
      </c>
      <c r="E8" s="20">
        <f>IF($A8="","",IFERROR(C8/(('Settings'!$B$6-'Settings'!$B$5+1)*'Settings'!$B$7/7),0))</f>
        <v/>
      </c>
      <c r="F8" s="16">
        <f>IF($A8="","",SUMIFS('Transactions'!$Q$3:$Q$2002,'Transactions'!$C$3:$C$2002,$A8,'Transactions'!$A$3:$A$2002,"&gt;="&amp;'Settings'!$B$5,'Transactions'!$A$3:$A$2002,"&lt;="&amp;'Settings'!$B$6))</f>
        <v/>
      </c>
      <c r="G8" s="23">
        <f>IF($A8="","",IFERROR(F8/((('Settings'!$B$6-'Settings'!$B$5+1)*'Settings'!$B$7/7)*'Settings'!$B$8),0))</f>
        <v/>
      </c>
    </row>
    <row r="9">
      <c r="A9" s="9">
        <f>IF(INDEX('Settings'!$C$10:$C$39,4)="","",INDEX('Settings'!$C$10:$C$39,4))</f>
        <v/>
      </c>
      <c r="B9" s="9">
        <f>IF($A9="","",INDEX('Settings'!$D$10:$D$39,4))</f>
        <v/>
      </c>
      <c r="C9" s="20">
        <f>IF($A9="","",SUMIFS('Transactions'!$N$3:$N$2002,'Transactions'!$C$3:$C$2002,$A9,'Transactions'!$A$3:$A$2002,"&gt;="&amp;'Settings'!$B$5,'Transactions'!$A$3:$A$2002,"&lt;="&amp;'Settings'!$B$6))</f>
        <v/>
      </c>
      <c r="D9" s="16">
        <f>IF($A9="","",COUNTIFS('Transactions'!$C$3:$C$2002,$A9,'Transactions'!$A$3:$A$2002,"&gt;="&amp;'Settings'!$B$5,'Transactions'!$A$3:$A$2002,"&lt;="&amp;'Settings'!$B$6))</f>
        <v/>
      </c>
      <c r="E9" s="20">
        <f>IF($A9="","",IFERROR(C9/(('Settings'!$B$6-'Settings'!$B$5+1)*'Settings'!$B$7/7),0))</f>
        <v/>
      </c>
      <c r="F9" s="16">
        <f>IF($A9="","",SUMIFS('Transactions'!$Q$3:$Q$2002,'Transactions'!$C$3:$C$2002,$A9,'Transactions'!$A$3:$A$2002,"&gt;="&amp;'Settings'!$B$5,'Transactions'!$A$3:$A$2002,"&lt;="&amp;'Settings'!$B$6))</f>
        <v/>
      </c>
      <c r="G9" s="23">
        <f>IF($A9="","",IFERROR(F9/((('Settings'!$B$6-'Settings'!$B$5+1)*'Settings'!$B$7/7)*'Settings'!$B$8),0))</f>
        <v/>
      </c>
    </row>
    <row r="10">
      <c r="A10" s="9">
        <f>IF(INDEX('Settings'!$C$10:$C$39,5)="","",INDEX('Settings'!$C$10:$C$39,5))</f>
        <v/>
      </c>
      <c r="B10" s="9">
        <f>IF($A10="","",INDEX('Settings'!$D$10:$D$39,5))</f>
        <v/>
      </c>
      <c r="C10" s="20">
        <f>IF($A10="","",SUMIFS('Transactions'!$N$3:$N$2002,'Transactions'!$C$3:$C$2002,$A10,'Transactions'!$A$3:$A$2002,"&gt;="&amp;'Settings'!$B$5,'Transactions'!$A$3:$A$2002,"&lt;="&amp;'Settings'!$B$6))</f>
        <v/>
      </c>
      <c r="D10" s="16">
        <f>IF($A10="","",COUNTIFS('Transactions'!$C$3:$C$2002,$A10,'Transactions'!$A$3:$A$2002,"&gt;="&amp;'Settings'!$B$5,'Transactions'!$A$3:$A$2002,"&lt;="&amp;'Settings'!$B$6))</f>
        <v/>
      </c>
      <c r="E10" s="20">
        <f>IF($A10="","",IFERROR(C10/(('Settings'!$B$6-'Settings'!$B$5+1)*'Settings'!$B$7/7),0))</f>
        <v/>
      </c>
      <c r="F10" s="16">
        <f>IF($A10="","",SUMIFS('Transactions'!$Q$3:$Q$2002,'Transactions'!$C$3:$C$2002,$A10,'Transactions'!$A$3:$A$2002,"&gt;="&amp;'Settings'!$B$5,'Transactions'!$A$3:$A$2002,"&lt;="&amp;'Settings'!$B$6))</f>
        <v/>
      </c>
      <c r="G10" s="23">
        <f>IF($A10="","",IFERROR(F10/((('Settings'!$B$6-'Settings'!$B$5+1)*'Settings'!$B$7/7)*'Settings'!$B$8),0))</f>
        <v/>
      </c>
    </row>
    <row r="11">
      <c r="A11" s="9">
        <f>IF(INDEX('Settings'!$C$10:$C$39,6)="","",INDEX('Settings'!$C$10:$C$39,6))</f>
        <v/>
      </c>
      <c r="B11" s="9">
        <f>IF($A11="","",INDEX('Settings'!$D$10:$D$39,6))</f>
        <v/>
      </c>
      <c r="C11" s="20">
        <f>IF($A11="","",SUMIFS('Transactions'!$N$3:$N$2002,'Transactions'!$C$3:$C$2002,$A11,'Transactions'!$A$3:$A$2002,"&gt;="&amp;'Settings'!$B$5,'Transactions'!$A$3:$A$2002,"&lt;="&amp;'Settings'!$B$6))</f>
        <v/>
      </c>
      <c r="D11" s="16">
        <f>IF($A11="","",COUNTIFS('Transactions'!$C$3:$C$2002,$A11,'Transactions'!$A$3:$A$2002,"&gt;="&amp;'Settings'!$B$5,'Transactions'!$A$3:$A$2002,"&lt;="&amp;'Settings'!$B$6))</f>
        <v/>
      </c>
      <c r="E11" s="20">
        <f>IF($A11="","",IFERROR(C11/(('Settings'!$B$6-'Settings'!$B$5+1)*'Settings'!$B$7/7),0))</f>
        <v/>
      </c>
      <c r="F11" s="16">
        <f>IF($A11="","",SUMIFS('Transactions'!$Q$3:$Q$2002,'Transactions'!$C$3:$C$2002,$A11,'Transactions'!$A$3:$A$2002,"&gt;="&amp;'Settings'!$B$5,'Transactions'!$A$3:$A$2002,"&lt;="&amp;'Settings'!$B$6))</f>
        <v/>
      </c>
      <c r="G11" s="23">
        <f>IF($A11="","",IFERROR(F11/((('Settings'!$B$6-'Settings'!$B$5+1)*'Settings'!$B$7/7)*'Settings'!$B$8),0))</f>
        <v/>
      </c>
    </row>
    <row r="12">
      <c r="A12" s="9">
        <f>IF(INDEX('Settings'!$C$10:$C$39,7)="","",INDEX('Settings'!$C$10:$C$39,7))</f>
        <v/>
      </c>
      <c r="B12" s="9">
        <f>IF($A12="","",INDEX('Settings'!$D$10:$D$39,7))</f>
        <v/>
      </c>
      <c r="C12" s="20">
        <f>IF($A12="","",SUMIFS('Transactions'!$N$3:$N$2002,'Transactions'!$C$3:$C$2002,$A12,'Transactions'!$A$3:$A$2002,"&gt;="&amp;'Settings'!$B$5,'Transactions'!$A$3:$A$2002,"&lt;="&amp;'Settings'!$B$6))</f>
        <v/>
      </c>
      <c r="D12" s="16">
        <f>IF($A12="","",COUNTIFS('Transactions'!$C$3:$C$2002,$A12,'Transactions'!$A$3:$A$2002,"&gt;="&amp;'Settings'!$B$5,'Transactions'!$A$3:$A$2002,"&lt;="&amp;'Settings'!$B$6))</f>
        <v/>
      </c>
      <c r="E12" s="20">
        <f>IF($A12="","",IFERROR(C12/(('Settings'!$B$6-'Settings'!$B$5+1)*'Settings'!$B$7/7),0))</f>
        <v/>
      </c>
      <c r="F12" s="16">
        <f>IF($A12="","",SUMIFS('Transactions'!$Q$3:$Q$2002,'Transactions'!$C$3:$C$2002,$A12,'Transactions'!$A$3:$A$2002,"&gt;="&amp;'Settings'!$B$5,'Transactions'!$A$3:$A$2002,"&lt;="&amp;'Settings'!$B$6))</f>
        <v/>
      </c>
      <c r="G12" s="23">
        <f>IF($A12="","",IFERROR(F12/((('Settings'!$B$6-'Settings'!$B$5+1)*'Settings'!$B$7/7)*'Settings'!$B$8),0))</f>
        <v/>
      </c>
    </row>
    <row r="13">
      <c r="A13" s="9">
        <f>IF(INDEX('Settings'!$C$10:$C$39,8)="","",INDEX('Settings'!$C$10:$C$39,8))</f>
        <v/>
      </c>
      <c r="B13" s="9">
        <f>IF($A13="","",INDEX('Settings'!$D$10:$D$39,8))</f>
        <v/>
      </c>
      <c r="C13" s="20">
        <f>IF($A13="","",SUMIFS('Transactions'!$N$3:$N$2002,'Transactions'!$C$3:$C$2002,$A13,'Transactions'!$A$3:$A$2002,"&gt;="&amp;'Settings'!$B$5,'Transactions'!$A$3:$A$2002,"&lt;="&amp;'Settings'!$B$6))</f>
        <v/>
      </c>
      <c r="D13" s="16">
        <f>IF($A13="","",COUNTIFS('Transactions'!$C$3:$C$2002,$A13,'Transactions'!$A$3:$A$2002,"&gt;="&amp;'Settings'!$B$5,'Transactions'!$A$3:$A$2002,"&lt;="&amp;'Settings'!$B$6))</f>
        <v/>
      </c>
      <c r="E13" s="20">
        <f>IF($A13="","",IFERROR(C13/(('Settings'!$B$6-'Settings'!$B$5+1)*'Settings'!$B$7/7),0))</f>
        <v/>
      </c>
      <c r="F13" s="16">
        <f>IF($A13="","",SUMIFS('Transactions'!$Q$3:$Q$2002,'Transactions'!$C$3:$C$2002,$A13,'Transactions'!$A$3:$A$2002,"&gt;="&amp;'Settings'!$B$5,'Transactions'!$A$3:$A$2002,"&lt;="&amp;'Settings'!$B$6))</f>
        <v/>
      </c>
      <c r="G13" s="23">
        <f>IF($A13="","",IFERROR(F13/((('Settings'!$B$6-'Settings'!$B$5+1)*'Settings'!$B$7/7)*'Settings'!$B$8),0))</f>
        <v/>
      </c>
    </row>
    <row r="14">
      <c r="A14" s="9">
        <f>IF(INDEX('Settings'!$C$10:$C$39,9)="","",INDEX('Settings'!$C$10:$C$39,9))</f>
        <v/>
      </c>
      <c r="B14" s="9">
        <f>IF($A14="","",INDEX('Settings'!$D$10:$D$39,9))</f>
        <v/>
      </c>
      <c r="C14" s="20">
        <f>IF($A14="","",SUMIFS('Transactions'!$N$3:$N$2002,'Transactions'!$C$3:$C$2002,$A14,'Transactions'!$A$3:$A$2002,"&gt;="&amp;'Settings'!$B$5,'Transactions'!$A$3:$A$2002,"&lt;="&amp;'Settings'!$B$6))</f>
        <v/>
      </c>
      <c r="D14" s="16">
        <f>IF($A14="","",COUNTIFS('Transactions'!$C$3:$C$2002,$A14,'Transactions'!$A$3:$A$2002,"&gt;="&amp;'Settings'!$B$5,'Transactions'!$A$3:$A$2002,"&lt;="&amp;'Settings'!$B$6))</f>
        <v/>
      </c>
      <c r="E14" s="20">
        <f>IF($A14="","",IFERROR(C14/(('Settings'!$B$6-'Settings'!$B$5+1)*'Settings'!$B$7/7),0))</f>
        <v/>
      </c>
      <c r="F14" s="16">
        <f>IF($A14="","",SUMIFS('Transactions'!$Q$3:$Q$2002,'Transactions'!$C$3:$C$2002,$A14,'Transactions'!$A$3:$A$2002,"&gt;="&amp;'Settings'!$B$5,'Transactions'!$A$3:$A$2002,"&lt;="&amp;'Settings'!$B$6))</f>
        <v/>
      </c>
      <c r="G14" s="23">
        <f>IF($A14="","",IFERROR(F14/((('Settings'!$B$6-'Settings'!$B$5+1)*'Settings'!$B$7/7)*'Settings'!$B$8),0))</f>
        <v/>
      </c>
    </row>
    <row r="15">
      <c r="A15" s="9">
        <f>IF(INDEX('Settings'!$C$10:$C$39,10)="","",INDEX('Settings'!$C$10:$C$39,10))</f>
        <v/>
      </c>
      <c r="B15" s="9">
        <f>IF($A15="","",INDEX('Settings'!$D$10:$D$39,10))</f>
        <v/>
      </c>
      <c r="C15" s="20">
        <f>IF($A15="","",SUMIFS('Transactions'!$N$3:$N$2002,'Transactions'!$C$3:$C$2002,$A15,'Transactions'!$A$3:$A$2002,"&gt;="&amp;'Settings'!$B$5,'Transactions'!$A$3:$A$2002,"&lt;="&amp;'Settings'!$B$6))</f>
        <v/>
      </c>
      <c r="D15" s="16">
        <f>IF($A15="","",COUNTIFS('Transactions'!$C$3:$C$2002,$A15,'Transactions'!$A$3:$A$2002,"&gt;="&amp;'Settings'!$B$5,'Transactions'!$A$3:$A$2002,"&lt;="&amp;'Settings'!$B$6))</f>
        <v/>
      </c>
      <c r="E15" s="20">
        <f>IF($A15="","",IFERROR(C15/(('Settings'!$B$6-'Settings'!$B$5+1)*'Settings'!$B$7/7),0))</f>
        <v/>
      </c>
      <c r="F15" s="16">
        <f>IF($A15="","",SUMIFS('Transactions'!$Q$3:$Q$2002,'Transactions'!$C$3:$C$2002,$A15,'Transactions'!$A$3:$A$2002,"&gt;="&amp;'Settings'!$B$5,'Transactions'!$A$3:$A$2002,"&lt;="&amp;'Settings'!$B$6))</f>
        <v/>
      </c>
      <c r="G15" s="23">
        <f>IF($A15="","",IFERROR(F15/((('Settings'!$B$6-'Settings'!$B$5+1)*'Settings'!$B$7/7)*'Settings'!$B$8),0))</f>
        <v/>
      </c>
    </row>
    <row r="16">
      <c r="A16" s="9">
        <f>IF(INDEX('Settings'!$C$10:$C$39,11)="","",INDEX('Settings'!$C$10:$C$39,11))</f>
        <v/>
      </c>
      <c r="B16" s="9">
        <f>IF($A16="","",INDEX('Settings'!$D$10:$D$39,11))</f>
        <v/>
      </c>
      <c r="C16" s="20">
        <f>IF($A16="","",SUMIFS('Transactions'!$N$3:$N$2002,'Transactions'!$C$3:$C$2002,$A16,'Transactions'!$A$3:$A$2002,"&gt;="&amp;'Settings'!$B$5,'Transactions'!$A$3:$A$2002,"&lt;="&amp;'Settings'!$B$6))</f>
        <v/>
      </c>
      <c r="D16" s="16">
        <f>IF($A16="","",COUNTIFS('Transactions'!$C$3:$C$2002,$A16,'Transactions'!$A$3:$A$2002,"&gt;="&amp;'Settings'!$B$5,'Transactions'!$A$3:$A$2002,"&lt;="&amp;'Settings'!$B$6))</f>
        <v/>
      </c>
      <c r="E16" s="20">
        <f>IF($A16="","",IFERROR(C16/(('Settings'!$B$6-'Settings'!$B$5+1)*'Settings'!$B$7/7),0))</f>
        <v/>
      </c>
      <c r="F16" s="16">
        <f>IF($A16="","",SUMIFS('Transactions'!$Q$3:$Q$2002,'Transactions'!$C$3:$C$2002,$A16,'Transactions'!$A$3:$A$2002,"&gt;="&amp;'Settings'!$B$5,'Transactions'!$A$3:$A$2002,"&lt;="&amp;'Settings'!$B$6))</f>
        <v/>
      </c>
      <c r="G16" s="23">
        <f>IF($A16="","",IFERROR(F16/((('Settings'!$B$6-'Settings'!$B$5+1)*'Settings'!$B$7/7)*'Settings'!$B$8),0))</f>
        <v/>
      </c>
    </row>
    <row r="17">
      <c r="A17" s="9">
        <f>IF(INDEX('Settings'!$C$10:$C$39,12)="","",INDEX('Settings'!$C$10:$C$39,12))</f>
        <v/>
      </c>
      <c r="B17" s="9">
        <f>IF($A17="","",INDEX('Settings'!$D$10:$D$39,12))</f>
        <v/>
      </c>
      <c r="C17" s="20">
        <f>IF($A17="","",SUMIFS('Transactions'!$N$3:$N$2002,'Transactions'!$C$3:$C$2002,$A17,'Transactions'!$A$3:$A$2002,"&gt;="&amp;'Settings'!$B$5,'Transactions'!$A$3:$A$2002,"&lt;="&amp;'Settings'!$B$6))</f>
        <v/>
      </c>
      <c r="D17" s="16">
        <f>IF($A17="","",COUNTIFS('Transactions'!$C$3:$C$2002,$A17,'Transactions'!$A$3:$A$2002,"&gt;="&amp;'Settings'!$B$5,'Transactions'!$A$3:$A$2002,"&lt;="&amp;'Settings'!$B$6))</f>
        <v/>
      </c>
      <c r="E17" s="20">
        <f>IF($A17="","",IFERROR(C17/(('Settings'!$B$6-'Settings'!$B$5+1)*'Settings'!$B$7/7),0))</f>
        <v/>
      </c>
      <c r="F17" s="16">
        <f>IF($A17="","",SUMIFS('Transactions'!$Q$3:$Q$2002,'Transactions'!$C$3:$C$2002,$A17,'Transactions'!$A$3:$A$2002,"&gt;="&amp;'Settings'!$B$5,'Transactions'!$A$3:$A$2002,"&lt;="&amp;'Settings'!$B$6))</f>
        <v/>
      </c>
      <c r="G17" s="23">
        <f>IF($A17="","",IFERROR(F17/((('Settings'!$B$6-'Settings'!$B$5+1)*'Settings'!$B$7/7)*'Settings'!$B$8),0))</f>
        <v/>
      </c>
    </row>
    <row r="19">
      <c r="A19" s="2" t="inlineStr">
        <is>
          <t>Occupancy proxy = minutes booked (quantity × service minutes) ÷ (open days × minutes available per room).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paperSize="9" fitToHeight="0" fitToWidth="1"/>
</worksheet>
</file>

<file path=xl/worksheets/sheet6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H36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0" customWidth="1" min="3" max="3"/>
    <col width="14" customWidth="1" min="4" max="4"/>
    <col width="13" customWidth="1" min="5" max="5"/>
    <col width="13" customWidth="1" min="6" max="6"/>
    <col width="3" customWidth="1" min="7" max="7"/>
    <col width="12" customWidth="1" min="8" max="8"/>
  </cols>
  <sheetData>
    <row r="1">
      <c r="A1" s="18">
        <f>'Settings'!B3</f>
        <v/>
      </c>
    </row>
    <row r="2">
      <c r="A2" s="19" t="inlineStr">
        <is>
          <t>Revenue by service</t>
        </is>
      </c>
    </row>
    <row r="3">
      <c r="A3" s="2">
        <f>"Period: "&amp;TEXT('Settings'!$B$5,"yyyy-mm-dd")&amp;" → "&amp;TEXT('Settings'!$B$6,"yyyy-mm-dd")&amp;"   ·   Amounts in "&amp;'Settings'!$B$4</f>
        <v/>
      </c>
    </row>
    <row r="5" ht="32" customHeight="1">
      <c r="A5" s="7" t="inlineStr">
        <is>
          <t>Service</t>
        </is>
      </c>
      <c r="B5" s="7" t="inlineStr">
        <is>
          <t>Group</t>
        </is>
      </c>
      <c r="C5" s="7" t="inlineStr">
        <is>
          <t>Count</t>
        </is>
      </c>
      <c r="D5" s="7" t="inlineStr">
        <is>
          <t>Net revenue</t>
        </is>
      </c>
      <c r="E5" s="7" t="inlineStr">
        <is>
          <t>Share of total</t>
        </is>
      </c>
      <c r="F5" s="7" t="inlineStr">
        <is>
          <t>Discount rate</t>
        </is>
      </c>
      <c r="G5" s="12" t="n"/>
      <c r="H5" s="7" t="inlineStr">
        <is>
          <t>Sort key</t>
        </is>
      </c>
    </row>
    <row r="6">
      <c r="A6" s="9">
        <f>IF(INDEX('Settings'!$I$10:$I$39,1)="","",INDEX('Settings'!$I$10:$I$39,1))</f>
        <v/>
      </c>
      <c r="B6" s="9">
        <f>IF($A6="","",INDEX('Settings'!$J$10:$J$39,1))</f>
        <v/>
      </c>
      <c r="C6" s="16">
        <f>IF($A6="","",SUMIFS('Transactions'!$J$3:$J$2002,'Transactions'!$H$3:$H$2002,$A6,'Transactions'!$A$3:$A$2002,"&gt;="&amp;'Settings'!$B$5,'Transactions'!$A$3:$A$2002,"&lt;="&amp;'Settings'!$B$6))</f>
        <v/>
      </c>
      <c r="D6" s="20">
        <f>IF($A6="","",SUMIFS('Transactions'!$N$3:$N$2002,'Transactions'!$H$3:$H$2002,$A6,'Transactions'!$A$3:$A$2002,"&gt;="&amp;'Settings'!$B$5,'Transactions'!$A$3:$A$2002,"&lt;="&amp;'Settings'!$B$6))</f>
        <v/>
      </c>
      <c r="E6" s="23">
        <f>IF($A6="","",IFERROR(D6/SUM($D$6:$D$35),0))</f>
        <v/>
      </c>
      <c r="F6" s="23">
        <f>IF($A6="","",IFERROR(SUMIFS('Transactions'!$L$3:$L$2002,'Transactions'!$H$3:$H$2002,$A6,'Transactions'!$A$3:$A$2002,"&gt;="&amp;'Settings'!$B$5,'Transactions'!$A$3:$A$2002,"&lt;="&amp;'Settings'!$B$6)/SUMIFS('Transactions'!$M$3:$M$2002,'Transactions'!$H$3:$H$2002,$A6,'Transactions'!$A$3:$A$2002,"&gt;="&amp;'Settings'!$B$5,'Transactions'!$A$3:$A$2002,"&lt;="&amp;'Settings'!$B$6),0))</f>
        <v/>
      </c>
      <c r="H6" s="24">
        <f>IF($A6="",0,D6+ROW()/1000000)</f>
        <v/>
      </c>
    </row>
    <row r="7">
      <c r="A7" s="9">
        <f>IF(INDEX('Settings'!$I$10:$I$39,2)="","",INDEX('Settings'!$I$10:$I$39,2))</f>
        <v/>
      </c>
      <c r="B7" s="9">
        <f>IF($A7="","",INDEX('Settings'!$J$10:$J$39,2))</f>
        <v/>
      </c>
      <c r="C7" s="16">
        <f>IF($A7="","",SUMIFS('Transactions'!$J$3:$J$2002,'Transactions'!$H$3:$H$2002,$A7,'Transactions'!$A$3:$A$2002,"&gt;="&amp;'Settings'!$B$5,'Transactions'!$A$3:$A$2002,"&lt;="&amp;'Settings'!$B$6))</f>
        <v/>
      </c>
      <c r="D7" s="20">
        <f>IF($A7="","",SUMIFS('Transactions'!$N$3:$N$2002,'Transactions'!$H$3:$H$2002,$A7,'Transactions'!$A$3:$A$2002,"&gt;="&amp;'Settings'!$B$5,'Transactions'!$A$3:$A$2002,"&lt;="&amp;'Settings'!$B$6))</f>
        <v/>
      </c>
      <c r="E7" s="23">
        <f>IF($A7="","",IFERROR(D7/SUM($D$6:$D$35),0))</f>
        <v/>
      </c>
      <c r="F7" s="23">
        <f>IF($A7="","",IFERROR(SUMIFS('Transactions'!$L$3:$L$2002,'Transactions'!$H$3:$H$2002,$A7,'Transactions'!$A$3:$A$2002,"&gt;="&amp;'Settings'!$B$5,'Transactions'!$A$3:$A$2002,"&lt;="&amp;'Settings'!$B$6)/SUMIFS('Transactions'!$M$3:$M$2002,'Transactions'!$H$3:$H$2002,$A7,'Transactions'!$A$3:$A$2002,"&gt;="&amp;'Settings'!$B$5,'Transactions'!$A$3:$A$2002,"&lt;="&amp;'Settings'!$B$6),0))</f>
        <v/>
      </c>
      <c r="H7" s="24">
        <f>IF($A7="",0,D7+ROW()/1000000)</f>
        <v/>
      </c>
    </row>
    <row r="8">
      <c r="A8" s="9">
        <f>IF(INDEX('Settings'!$I$10:$I$39,3)="","",INDEX('Settings'!$I$10:$I$39,3))</f>
        <v/>
      </c>
      <c r="B8" s="9">
        <f>IF($A8="","",INDEX('Settings'!$J$10:$J$39,3))</f>
        <v/>
      </c>
      <c r="C8" s="16">
        <f>IF($A8="","",SUMIFS('Transactions'!$J$3:$J$2002,'Transactions'!$H$3:$H$2002,$A8,'Transactions'!$A$3:$A$2002,"&gt;="&amp;'Settings'!$B$5,'Transactions'!$A$3:$A$2002,"&lt;="&amp;'Settings'!$B$6))</f>
        <v/>
      </c>
      <c r="D8" s="20">
        <f>IF($A8="","",SUMIFS('Transactions'!$N$3:$N$2002,'Transactions'!$H$3:$H$2002,$A8,'Transactions'!$A$3:$A$2002,"&gt;="&amp;'Settings'!$B$5,'Transactions'!$A$3:$A$2002,"&lt;="&amp;'Settings'!$B$6))</f>
        <v/>
      </c>
      <c r="E8" s="23">
        <f>IF($A8="","",IFERROR(D8/SUM($D$6:$D$35),0))</f>
        <v/>
      </c>
      <c r="F8" s="23">
        <f>IF($A8="","",IFERROR(SUMIFS('Transactions'!$L$3:$L$2002,'Transactions'!$H$3:$H$2002,$A8,'Transactions'!$A$3:$A$2002,"&gt;="&amp;'Settings'!$B$5,'Transactions'!$A$3:$A$2002,"&lt;="&amp;'Settings'!$B$6)/SUMIFS('Transactions'!$M$3:$M$2002,'Transactions'!$H$3:$H$2002,$A8,'Transactions'!$A$3:$A$2002,"&gt;="&amp;'Settings'!$B$5,'Transactions'!$A$3:$A$2002,"&lt;="&amp;'Settings'!$B$6),0))</f>
        <v/>
      </c>
      <c r="H8" s="24">
        <f>IF($A8="",0,D8+ROW()/1000000)</f>
        <v/>
      </c>
    </row>
    <row r="9">
      <c r="A9" s="9">
        <f>IF(INDEX('Settings'!$I$10:$I$39,4)="","",INDEX('Settings'!$I$10:$I$39,4))</f>
        <v/>
      </c>
      <c r="B9" s="9">
        <f>IF($A9="","",INDEX('Settings'!$J$10:$J$39,4))</f>
        <v/>
      </c>
      <c r="C9" s="16">
        <f>IF($A9="","",SUMIFS('Transactions'!$J$3:$J$2002,'Transactions'!$H$3:$H$2002,$A9,'Transactions'!$A$3:$A$2002,"&gt;="&amp;'Settings'!$B$5,'Transactions'!$A$3:$A$2002,"&lt;="&amp;'Settings'!$B$6))</f>
        <v/>
      </c>
      <c r="D9" s="20">
        <f>IF($A9="","",SUMIFS('Transactions'!$N$3:$N$2002,'Transactions'!$H$3:$H$2002,$A9,'Transactions'!$A$3:$A$2002,"&gt;="&amp;'Settings'!$B$5,'Transactions'!$A$3:$A$2002,"&lt;="&amp;'Settings'!$B$6))</f>
        <v/>
      </c>
      <c r="E9" s="23">
        <f>IF($A9="","",IFERROR(D9/SUM($D$6:$D$35),0))</f>
        <v/>
      </c>
      <c r="F9" s="23">
        <f>IF($A9="","",IFERROR(SUMIFS('Transactions'!$L$3:$L$2002,'Transactions'!$H$3:$H$2002,$A9,'Transactions'!$A$3:$A$2002,"&gt;="&amp;'Settings'!$B$5,'Transactions'!$A$3:$A$2002,"&lt;="&amp;'Settings'!$B$6)/SUMIFS('Transactions'!$M$3:$M$2002,'Transactions'!$H$3:$H$2002,$A9,'Transactions'!$A$3:$A$2002,"&gt;="&amp;'Settings'!$B$5,'Transactions'!$A$3:$A$2002,"&lt;="&amp;'Settings'!$B$6),0))</f>
        <v/>
      </c>
      <c r="H9" s="24">
        <f>IF($A9="",0,D9+ROW()/1000000)</f>
        <v/>
      </c>
    </row>
    <row r="10">
      <c r="A10" s="9">
        <f>IF(INDEX('Settings'!$I$10:$I$39,5)="","",INDEX('Settings'!$I$10:$I$39,5))</f>
        <v/>
      </c>
      <c r="B10" s="9">
        <f>IF($A10="","",INDEX('Settings'!$J$10:$J$39,5))</f>
        <v/>
      </c>
      <c r="C10" s="16">
        <f>IF($A10="","",SUMIFS('Transactions'!$J$3:$J$2002,'Transactions'!$H$3:$H$2002,$A10,'Transactions'!$A$3:$A$2002,"&gt;="&amp;'Settings'!$B$5,'Transactions'!$A$3:$A$2002,"&lt;="&amp;'Settings'!$B$6))</f>
        <v/>
      </c>
      <c r="D10" s="20">
        <f>IF($A10="","",SUMIFS('Transactions'!$N$3:$N$2002,'Transactions'!$H$3:$H$2002,$A10,'Transactions'!$A$3:$A$2002,"&gt;="&amp;'Settings'!$B$5,'Transactions'!$A$3:$A$2002,"&lt;="&amp;'Settings'!$B$6))</f>
        <v/>
      </c>
      <c r="E10" s="23">
        <f>IF($A10="","",IFERROR(D10/SUM($D$6:$D$35),0))</f>
        <v/>
      </c>
      <c r="F10" s="23">
        <f>IF($A10="","",IFERROR(SUMIFS('Transactions'!$L$3:$L$2002,'Transactions'!$H$3:$H$2002,$A10,'Transactions'!$A$3:$A$2002,"&gt;="&amp;'Settings'!$B$5,'Transactions'!$A$3:$A$2002,"&lt;="&amp;'Settings'!$B$6)/SUMIFS('Transactions'!$M$3:$M$2002,'Transactions'!$H$3:$H$2002,$A10,'Transactions'!$A$3:$A$2002,"&gt;="&amp;'Settings'!$B$5,'Transactions'!$A$3:$A$2002,"&lt;="&amp;'Settings'!$B$6),0))</f>
        <v/>
      </c>
      <c r="H10" s="24">
        <f>IF($A10="",0,D10+ROW()/1000000)</f>
        <v/>
      </c>
    </row>
    <row r="11">
      <c r="A11" s="9">
        <f>IF(INDEX('Settings'!$I$10:$I$39,6)="","",INDEX('Settings'!$I$10:$I$39,6))</f>
        <v/>
      </c>
      <c r="B11" s="9">
        <f>IF($A11="","",INDEX('Settings'!$J$10:$J$39,6))</f>
        <v/>
      </c>
      <c r="C11" s="16">
        <f>IF($A11="","",SUMIFS('Transactions'!$J$3:$J$2002,'Transactions'!$H$3:$H$2002,$A11,'Transactions'!$A$3:$A$2002,"&gt;="&amp;'Settings'!$B$5,'Transactions'!$A$3:$A$2002,"&lt;="&amp;'Settings'!$B$6))</f>
        <v/>
      </c>
      <c r="D11" s="20">
        <f>IF($A11="","",SUMIFS('Transactions'!$N$3:$N$2002,'Transactions'!$H$3:$H$2002,$A11,'Transactions'!$A$3:$A$2002,"&gt;="&amp;'Settings'!$B$5,'Transactions'!$A$3:$A$2002,"&lt;="&amp;'Settings'!$B$6))</f>
        <v/>
      </c>
      <c r="E11" s="23">
        <f>IF($A11="","",IFERROR(D11/SUM($D$6:$D$35),0))</f>
        <v/>
      </c>
      <c r="F11" s="23">
        <f>IF($A11="","",IFERROR(SUMIFS('Transactions'!$L$3:$L$2002,'Transactions'!$H$3:$H$2002,$A11,'Transactions'!$A$3:$A$2002,"&gt;="&amp;'Settings'!$B$5,'Transactions'!$A$3:$A$2002,"&lt;="&amp;'Settings'!$B$6)/SUMIFS('Transactions'!$M$3:$M$2002,'Transactions'!$H$3:$H$2002,$A11,'Transactions'!$A$3:$A$2002,"&gt;="&amp;'Settings'!$B$5,'Transactions'!$A$3:$A$2002,"&lt;="&amp;'Settings'!$B$6),0))</f>
        <v/>
      </c>
      <c r="H11" s="24">
        <f>IF($A11="",0,D11+ROW()/1000000)</f>
        <v/>
      </c>
    </row>
    <row r="12">
      <c r="A12" s="9">
        <f>IF(INDEX('Settings'!$I$10:$I$39,7)="","",INDEX('Settings'!$I$10:$I$39,7))</f>
        <v/>
      </c>
      <c r="B12" s="9">
        <f>IF($A12="","",INDEX('Settings'!$J$10:$J$39,7))</f>
        <v/>
      </c>
      <c r="C12" s="16">
        <f>IF($A12="","",SUMIFS('Transactions'!$J$3:$J$2002,'Transactions'!$H$3:$H$2002,$A12,'Transactions'!$A$3:$A$2002,"&gt;="&amp;'Settings'!$B$5,'Transactions'!$A$3:$A$2002,"&lt;="&amp;'Settings'!$B$6))</f>
        <v/>
      </c>
      <c r="D12" s="20">
        <f>IF($A12="","",SUMIFS('Transactions'!$N$3:$N$2002,'Transactions'!$H$3:$H$2002,$A12,'Transactions'!$A$3:$A$2002,"&gt;="&amp;'Settings'!$B$5,'Transactions'!$A$3:$A$2002,"&lt;="&amp;'Settings'!$B$6))</f>
        <v/>
      </c>
      <c r="E12" s="23">
        <f>IF($A12="","",IFERROR(D12/SUM($D$6:$D$35),0))</f>
        <v/>
      </c>
      <c r="F12" s="23">
        <f>IF($A12="","",IFERROR(SUMIFS('Transactions'!$L$3:$L$2002,'Transactions'!$H$3:$H$2002,$A12,'Transactions'!$A$3:$A$2002,"&gt;="&amp;'Settings'!$B$5,'Transactions'!$A$3:$A$2002,"&lt;="&amp;'Settings'!$B$6)/SUMIFS('Transactions'!$M$3:$M$2002,'Transactions'!$H$3:$H$2002,$A12,'Transactions'!$A$3:$A$2002,"&gt;="&amp;'Settings'!$B$5,'Transactions'!$A$3:$A$2002,"&lt;="&amp;'Settings'!$B$6),0))</f>
        <v/>
      </c>
      <c r="H12" s="24">
        <f>IF($A12="",0,D12+ROW()/1000000)</f>
        <v/>
      </c>
    </row>
    <row r="13">
      <c r="A13" s="9">
        <f>IF(INDEX('Settings'!$I$10:$I$39,8)="","",INDEX('Settings'!$I$10:$I$39,8))</f>
        <v/>
      </c>
      <c r="B13" s="9">
        <f>IF($A13="","",INDEX('Settings'!$J$10:$J$39,8))</f>
        <v/>
      </c>
      <c r="C13" s="16">
        <f>IF($A13="","",SUMIFS('Transactions'!$J$3:$J$2002,'Transactions'!$H$3:$H$2002,$A13,'Transactions'!$A$3:$A$2002,"&gt;="&amp;'Settings'!$B$5,'Transactions'!$A$3:$A$2002,"&lt;="&amp;'Settings'!$B$6))</f>
        <v/>
      </c>
      <c r="D13" s="20">
        <f>IF($A13="","",SUMIFS('Transactions'!$N$3:$N$2002,'Transactions'!$H$3:$H$2002,$A13,'Transactions'!$A$3:$A$2002,"&gt;="&amp;'Settings'!$B$5,'Transactions'!$A$3:$A$2002,"&lt;="&amp;'Settings'!$B$6))</f>
        <v/>
      </c>
      <c r="E13" s="23">
        <f>IF($A13="","",IFERROR(D13/SUM($D$6:$D$35),0))</f>
        <v/>
      </c>
      <c r="F13" s="23">
        <f>IF($A13="","",IFERROR(SUMIFS('Transactions'!$L$3:$L$2002,'Transactions'!$H$3:$H$2002,$A13,'Transactions'!$A$3:$A$2002,"&gt;="&amp;'Settings'!$B$5,'Transactions'!$A$3:$A$2002,"&lt;="&amp;'Settings'!$B$6)/SUMIFS('Transactions'!$M$3:$M$2002,'Transactions'!$H$3:$H$2002,$A13,'Transactions'!$A$3:$A$2002,"&gt;="&amp;'Settings'!$B$5,'Transactions'!$A$3:$A$2002,"&lt;="&amp;'Settings'!$B$6),0))</f>
        <v/>
      </c>
      <c r="H13" s="24">
        <f>IF($A13="",0,D13+ROW()/1000000)</f>
        <v/>
      </c>
    </row>
    <row r="14">
      <c r="A14" s="9">
        <f>IF(INDEX('Settings'!$I$10:$I$39,9)="","",INDEX('Settings'!$I$10:$I$39,9))</f>
        <v/>
      </c>
      <c r="B14" s="9">
        <f>IF($A14="","",INDEX('Settings'!$J$10:$J$39,9))</f>
        <v/>
      </c>
      <c r="C14" s="16">
        <f>IF($A14="","",SUMIFS('Transactions'!$J$3:$J$2002,'Transactions'!$H$3:$H$2002,$A14,'Transactions'!$A$3:$A$2002,"&gt;="&amp;'Settings'!$B$5,'Transactions'!$A$3:$A$2002,"&lt;="&amp;'Settings'!$B$6))</f>
        <v/>
      </c>
      <c r="D14" s="20">
        <f>IF($A14="","",SUMIFS('Transactions'!$N$3:$N$2002,'Transactions'!$H$3:$H$2002,$A14,'Transactions'!$A$3:$A$2002,"&gt;="&amp;'Settings'!$B$5,'Transactions'!$A$3:$A$2002,"&lt;="&amp;'Settings'!$B$6))</f>
        <v/>
      </c>
      <c r="E14" s="23">
        <f>IF($A14="","",IFERROR(D14/SUM($D$6:$D$35),0))</f>
        <v/>
      </c>
      <c r="F14" s="23">
        <f>IF($A14="","",IFERROR(SUMIFS('Transactions'!$L$3:$L$2002,'Transactions'!$H$3:$H$2002,$A14,'Transactions'!$A$3:$A$2002,"&gt;="&amp;'Settings'!$B$5,'Transactions'!$A$3:$A$2002,"&lt;="&amp;'Settings'!$B$6)/SUMIFS('Transactions'!$M$3:$M$2002,'Transactions'!$H$3:$H$2002,$A14,'Transactions'!$A$3:$A$2002,"&gt;="&amp;'Settings'!$B$5,'Transactions'!$A$3:$A$2002,"&lt;="&amp;'Settings'!$B$6),0))</f>
        <v/>
      </c>
      <c r="H14" s="24">
        <f>IF($A14="",0,D14+ROW()/1000000)</f>
        <v/>
      </c>
    </row>
    <row r="15">
      <c r="A15" s="9">
        <f>IF(INDEX('Settings'!$I$10:$I$39,10)="","",INDEX('Settings'!$I$10:$I$39,10))</f>
        <v/>
      </c>
      <c r="B15" s="9">
        <f>IF($A15="","",INDEX('Settings'!$J$10:$J$39,10))</f>
        <v/>
      </c>
      <c r="C15" s="16">
        <f>IF($A15="","",SUMIFS('Transactions'!$J$3:$J$2002,'Transactions'!$H$3:$H$2002,$A15,'Transactions'!$A$3:$A$2002,"&gt;="&amp;'Settings'!$B$5,'Transactions'!$A$3:$A$2002,"&lt;="&amp;'Settings'!$B$6))</f>
        <v/>
      </c>
      <c r="D15" s="20">
        <f>IF($A15="","",SUMIFS('Transactions'!$N$3:$N$2002,'Transactions'!$H$3:$H$2002,$A15,'Transactions'!$A$3:$A$2002,"&gt;="&amp;'Settings'!$B$5,'Transactions'!$A$3:$A$2002,"&lt;="&amp;'Settings'!$B$6))</f>
        <v/>
      </c>
      <c r="E15" s="23">
        <f>IF($A15="","",IFERROR(D15/SUM($D$6:$D$35),0))</f>
        <v/>
      </c>
      <c r="F15" s="23">
        <f>IF($A15="","",IFERROR(SUMIFS('Transactions'!$L$3:$L$2002,'Transactions'!$H$3:$H$2002,$A15,'Transactions'!$A$3:$A$2002,"&gt;="&amp;'Settings'!$B$5,'Transactions'!$A$3:$A$2002,"&lt;="&amp;'Settings'!$B$6)/SUMIFS('Transactions'!$M$3:$M$2002,'Transactions'!$H$3:$H$2002,$A15,'Transactions'!$A$3:$A$2002,"&gt;="&amp;'Settings'!$B$5,'Transactions'!$A$3:$A$2002,"&lt;="&amp;'Settings'!$B$6),0))</f>
        <v/>
      </c>
      <c r="H15" s="24">
        <f>IF($A15="",0,D15+ROW()/1000000)</f>
        <v/>
      </c>
    </row>
    <row r="16">
      <c r="A16" s="9">
        <f>IF(INDEX('Settings'!$I$10:$I$39,11)="","",INDEX('Settings'!$I$10:$I$39,11))</f>
        <v/>
      </c>
      <c r="B16" s="9">
        <f>IF($A16="","",INDEX('Settings'!$J$10:$J$39,11))</f>
        <v/>
      </c>
      <c r="C16" s="16">
        <f>IF($A16="","",SUMIFS('Transactions'!$J$3:$J$2002,'Transactions'!$H$3:$H$2002,$A16,'Transactions'!$A$3:$A$2002,"&gt;="&amp;'Settings'!$B$5,'Transactions'!$A$3:$A$2002,"&lt;="&amp;'Settings'!$B$6))</f>
        <v/>
      </c>
      <c r="D16" s="20">
        <f>IF($A16="","",SUMIFS('Transactions'!$N$3:$N$2002,'Transactions'!$H$3:$H$2002,$A16,'Transactions'!$A$3:$A$2002,"&gt;="&amp;'Settings'!$B$5,'Transactions'!$A$3:$A$2002,"&lt;="&amp;'Settings'!$B$6))</f>
        <v/>
      </c>
      <c r="E16" s="23">
        <f>IF($A16="","",IFERROR(D16/SUM($D$6:$D$35),0))</f>
        <v/>
      </c>
      <c r="F16" s="23">
        <f>IF($A16="","",IFERROR(SUMIFS('Transactions'!$L$3:$L$2002,'Transactions'!$H$3:$H$2002,$A16,'Transactions'!$A$3:$A$2002,"&gt;="&amp;'Settings'!$B$5,'Transactions'!$A$3:$A$2002,"&lt;="&amp;'Settings'!$B$6)/SUMIFS('Transactions'!$M$3:$M$2002,'Transactions'!$H$3:$H$2002,$A16,'Transactions'!$A$3:$A$2002,"&gt;="&amp;'Settings'!$B$5,'Transactions'!$A$3:$A$2002,"&lt;="&amp;'Settings'!$B$6),0))</f>
        <v/>
      </c>
      <c r="H16" s="24">
        <f>IF($A16="",0,D16+ROW()/1000000)</f>
        <v/>
      </c>
    </row>
    <row r="17">
      <c r="A17" s="9">
        <f>IF(INDEX('Settings'!$I$10:$I$39,12)="","",INDEX('Settings'!$I$10:$I$39,12))</f>
        <v/>
      </c>
      <c r="B17" s="9">
        <f>IF($A17="","",INDEX('Settings'!$J$10:$J$39,12))</f>
        <v/>
      </c>
      <c r="C17" s="16">
        <f>IF($A17="","",SUMIFS('Transactions'!$J$3:$J$2002,'Transactions'!$H$3:$H$2002,$A17,'Transactions'!$A$3:$A$2002,"&gt;="&amp;'Settings'!$B$5,'Transactions'!$A$3:$A$2002,"&lt;="&amp;'Settings'!$B$6))</f>
        <v/>
      </c>
      <c r="D17" s="20">
        <f>IF($A17="","",SUMIFS('Transactions'!$N$3:$N$2002,'Transactions'!$H$3:$H$2002,$A17,'Transactions'!$A$3:$A$2002,"&gt;="&amp;'Settings'!$B$5,'Transactions'!$A$3:$A$2002,"&lt;="&amp;'Settings'!$B$6))</f>
        <v/>
      </c>
      <c r="E17" s="23">
        <f>IF($A17="","",IFERROR(D17/SUM($D$6:$D$35),0))</f>
        <v/>
      </c>
      <c r="F17" s="23">
        <f>IF($A17="","",IFERROR(SUMIFS('Transactions'!$L$3:$L$2002,'Transactions'!$H$3:$H$2002,$A17,'Transactions'!$A$3:$A$2002,"&gt;="&amp;'Settings'!$B$5,'Transactions'!$A$3:$A$2002,"&lt;="&amp;'Settings'!$B$6)/SUMIFS('Transactions'!$M$3:$M$2002,'Transactions'!$H$3:$H$2002,$A17,'Transactions'!$A$3:$A$2002,"&gt;="&amp;'Settings'!$B$5,'Transactions'!$A$3:$A$2002,"&lt;="&amp;'Settings'!$B$6),0))</f>
        <v/>
      </c>
      <c r="H17" s="24">
        <f>IF($A17="",0,D17+ROW()/1000000)</f>
        <v/>
      </c>
    </row>
    <row r="18">
      <c r="A18" s="9">
        <f>IF(INDEX('Settings'!$I$10:$I$39,13)="","",INDEX('Settings'!$I$10:$I$39,13))</f>
        <v/>
      </c>
      <c r="B18" s="9">
        <f>IF($A18="","",INDEX('Settings'!$J$10:$J$39,13))</f>
        <v/>
      </c>
      <c r="C18" s="16">
        <f>IF($A18="","",SUMIFS('Transactions'!$J$3:$J$2002,'Transactions'!$H$3:$H$2002,$A18,'Transactions'!$A$3:$A$2002,"&gt;="&amp;'Settings'!$B$5,'Transactions'!$A$3:$A$2002,"&lt;="&amp;'Settings'!$B$6))</f>
        <v/>
      </c>
      <c r="D18" s="20">
        <f>IF($A18="","",SUMIFS('Transactions'!$N$3:$N$2002,'Transactions'!$H$3:$H$2002,$A18,'Transactions'!$A$3:$A$2002,"&gt;="&amp;'Settings'!$B$5,'Transactions'!$A$3:$A$2002,"&lt;="&amp;'Settings'!$B$6))</f>
        <v/>
      </c>
      <c r="E18" s="23">
        <f>IF($A18="","",IFERROR(D18/SUM($D$6:$D$35),0))</f>
        <v/>
      </c>
      <c r="F18" s="23">
        <f>IF($A18="","",IFERROR(SUMIFS('Transactions'!$L$3:$L$2002,'Transactions'!$H$3:$H$2002,$A18,'Transactions'!$A$3:$A$2002,"&gt;="&amp;'Settings'!$B$5,'Transactions'!$A$3:$A$2002,"&lt;="&amp;'Settings'!$B$6)/SUMIFS('Transactions'!$M$3:$M$2002,'Transactions'!$H$3:$H$2002,$A18,'Transactions'!$A$3:$A$2002,"&gt;="&amp;'Settings'!$B$5,'Transactions'!$A$3:$A$2002,"&lt;="&amp;'Settings'!$B$6),0))</f>
        <v/>
      </c>
      <c r="H18" s="24">
        <f>IF($A18="",0,D18+ROW()/1000000)</f>
        <v/>
      </c>
    </row>
    <row r="19">
      <c r="A19" s="9">
        <f>IF(INDEX('Settings'!$I$10:$I$39,14)="","",INDEX('Settings'!$I$10:$I$39,14))</f>
        <v/>
      </c>
      <c r="B19" s="9">
        <f>IF($A19="","",INDEX('Settings'!$J$10:$J$39,14))</f>
        <v/>
      </c>
      <c r="C19" s="16">
        <f>IF($A19="","",SUMIFS('Transactions'!$J$3:$J$2002,'Transactions'!$H$3:$H$2002,$A19,'Transactions'!$A$3:$A$2002,"&gt;="&amp;'Settings'!$B$5,'Transactions'!$A$3:$A$2002,"&lt;="&amp;'Settings'!$B$6))</f>
        <v/>
      </c>
      <c r="D19" s="20">
        <f>IF($A19="","",SUMIFS('Transactions'!$N$3:$N$2002,'Transactions'!$H$3:$H$2002,$A19,'Transactions'!$A$3:$A$2002,"&gt;="&amp;'Settings'!$B$5,'Transactions'!$A$3:$A$2002,"&lt;="&amp;'Settings'!$B$6))</f>
        <v/>
      </c>
      <c r="E19" s="23">
        <f>IF($A19="","",IFERROR(D19/SUM($D$6:$D$35),0))</f>
        <v/>
      </c>
      <c r="F19" s="23">
        <f>IF($A19="","",IFERROR(SUMIFS('Transactions'!$L$3:$L$2002,'Transactions'!$H$3:$H$2002,$A19,'Transactions'!$A$3:$A$2002,"&gt;="&amp;'Settings'!$B$5,'Transactions'!$A$3:$A$2002,"&lt;="&amp;'Settings'!$B$6)/SUMIFS('Transactions'!$M$3:$M$2002,'Transactions'!$H$3:$H$2002,$A19,'Transactions'!$A$3:$A$2002,"&gt;="&amp;'Settings'!$B$5,'Transactions'!$A$3:$A$2002,"&lt;="&amp;'Settings'!$B$6),0))</f>
        <v/>
      </c>
      <c r="H19" s="24">
        <f>IF($A19="",0,D19+ROW()/1000000)</f>
        <v/>
      </c>
    </row>
    <row r="20">
      <c r="A20" s="9">
        <f>IF(INDEX('Settings'!$I$10:$I$39,15)="","",INDEX('Settings'!$I$10:$I$39,15))</f>
        <v/>
      </c>
      <c r="B20" s="9">
        <f>IF($A20="","",INDEX('Settings'!$J$10:$J$39,15))</f>
        <v/>
      </c>
      <c r="C20" s="16">
        <f>IF($A20="","",SUMIFS('Transactions'!$J$3:$J$2002,'Transactions'!$H$3:$H$2002,$A20,'Transactions'!$A$3:$A$2002,"&gt;="&amp;'Settings'!$B$5,'Transactions'!$A$3:$A$2002,"&lt;="&amp;'Settings'!$B$6))</f>
        <v/>
      </c>
      <c r="D20" s="20">
        <f>IF($A20="","",SUMIFS('Transactions'!$N$3:$N$2002,'Transactions'!$H$3:$H$2002,$A20,'Transactions'!$A$3:$A$2002,"&gt;="&amp;'Settings'!$B$5,'Transactions'!$A$3:$A$2002,"&lt;="&amp;'Settings'!$B$6))</f>
        <v/>
      </c>
      <c r="E20" s="23">
        <f>IF($A20="","",IFERROR(D20/SUM($D$6:$D$35),0))</f>
        <v/>
      </c>
      <c r="F20" s="23">
        <f>IF($A20="","",IFERROR(SUMIFS('Transactions'!$L$3:$L$2002,'Transactions'!$H$3:$H$2002,$A20,'Transactions'!$A$3:$A$2002,"&gt;="&amp;'Settings'!$B$5,'Transactions'!$A$3:$A$2002,"&lt;="&amp;'Settings'!$B$6)/SUMIFS('Transactions'!$M$3:$M$2002,'Transactions'!$H$3:$H$2002,$A20,'Transactions'!$A$3:$A$2002,"&gt;="&amp;'Settings'!$B$5,'Transactions'!$A$3:$A$2002,"&lt;="&amp;'Settings'!$B$6),0))</f>
        <v/>
      </c>
      <c r="H20" s="24">
        <f>IF($A20="",0,D20+ROW()/1000000)</f>
        <v/>
      </c>
    </row>
    <row r="21">
      <c r="A21" s="9">
        <f>IF(INDEX('Settings'!$I$10:$I$39,16)="","",INDEX('Settings'!$I$10:$I$39,16))</f>
        <v/>
      </c>
      <c r="B21" s="9">
        <f>IF($A21="","",INDEX('Settings'!$J$10:$J$39,16))</f>
        <v/>
      </c>
      <c r="C21" s="16">
        <f>IF($A21="","",SUMIFS('Transactions'!$J$3:$J$2002,'Transactions'!$H$3:$H$2002,$A21,'Transactions'!$A$3:$A$2002,"&gt;="&amp;'Settings'!$B$5,'Transactions'!$A$3:$A$2002,"&lt;="&amp;'Settings'!$B$6))</f>
        <v/>
      </c>
      <c r="D21" s="20">
        <f>IF($A21="","",SUMIFS('Transactions'!$N$3:$N$2002,'Transactions'!$H$3:$H$2002,$A21,'Transactions'!$A$3:$A$2002,"&gt;="&amp;'Settings'!$B$5,'Transactions'!$A$3:$A$2002,"&lt;="&amp;'Settings'!$B$6))</f>
        <v/>
      </c>
      <c r="E21" s="23">
        <f>IF($A21="","",IFERROR(D21/SUM($D$6:$D$35),0))</f>
        <v/>
      </c>
      <c r="F21" s="23">
        <f>IF($A21="","",IFERROR(SUMIFS('Transactions'!$L$3:$L$2002,'Transactions'!$H$3:$H$2002,$A21,'Transactions'!$A$3:$A$2002,"&gt;="&amp;'Settings'!$B$5,'Transactions'!$A$3:$A$2002,"&lt;="&amp;'Settings'!$B$6)/SUMIFS('Transactions'!$M$3:$M$2002,'Transactions'!$H$3:$H$2002,$A21,'Transactions'!$A$3:$A$2002,"&gt;="&amp;'Settings'!$B$5,'Transactions'!$A$3:$A$2002,"&lt;="&amp;'Settings'!$B$6),0))</f>
        <v/>
      </c>
      <c r="H21" s="24">
        <f>IF($A21="",0,D21+ROW()/1000000)</f>
        <v/>
      </c>
    </row>
    <row r="22">
      <c r="A22" s="9">
        <f>IF(INDEX('Settings'!$I$10:$I$39,17)="","",INDEX('Settings'!$I$10:$I$39,17))</f>
        <v/>
      </c>
      <c r="B22" s="9">
        <f>IF($A22="","",INDEX('Settings'!$J$10:$J$39,17))</f>
        <v/>
      </c>
      <c r="C22" s="16">
        <f>IF($A22="","",SUMIFS('Transactions'!$J$3:$J$2002,'Transactions'!$H$3:$H$2002,$A22,'Transactions'!$A$3:$A$2002,"&gt;="&amp;'Settings'!$B$5,'Transactions'!$A$3:$A$2002,"&lt;="&amp;'Settings'!$B$6))</f>
        <v/>
      </c>
      <c r="D22" s="20">
        <f>IF($A22="","",SUMIFS('Transactions'!$N$3:$N$2002,'Transactions'!$H$3:$H$2002,$A22,'Transactions'!$A$3:$A$2002,"&gt;="&amp;'Settings'!$B$5,'Transactions'!$A$3:$A$2002,"&lt;="&amp;'Settings'!$B$6))</f>
        <v/>
      </c>
      <c r="E22" s="23">
        <f>IF($A22="","",IFERROR(D22/SUM($D$6:$D$35),0))</f>
        <v/>
      </c>
      <c r="F22" s="23">
        <f>IF($A22="","",IFERROR(SUMIFS('Transactions'!$L$3:$L$2002,'Transactions'!$H$3:$H$2002,$A22,'Transactions'!$A$3:$A$2002,"&gt;="&amp;'Settings'!$B$5,'Transactions'!$A$3:$A$2002,"&lt;="&amp;'Settings'!$B$6)/SUMIFS('Transactions'!$M$3:$M$2002,'Transactions'!$H$3:$H$2002,$A22,'Transactions'!$A$3:$A$2002,"&gt;="&amp;'Settings'!$B$5,'Transactions'!$A$3:$A$2002,"&lt;="&amp;'Settings'!$B$6),0))</f>
        <v/>
      </c>
      <c r="H22" s="24">
        <f>IF($A22="",0,D22+ROW()/1000000)</f>
        <v/>
      </c>
    </row>
    <row r="23">
      <c r="A23" s="9">
        <f>IF(INDEX('Settings'!$I$10:$I$39,18)="","",INDEX('Settings'!$I$10:$I$39,18))</f>
        <v/>
      </c>
      <c r="B23" s="9">
        <f>IF($A23="","",INDEX('Settings'!$J$10:$J$39,18))</f>
        <v/>
      </c>
      <c r="C23" s="16">
        <f>IF($A23="","",SUMIFS('Transactions'!$J$3:$J$2002,'Transactions'!$H$3:$H$2002,$A23,'Transactions'!$A$3:$A$2002,"&gt;="&amp;'Settings'!$B$5,'Transactions'!$A$3:$A$2002,"&lt;="&amp;'Settings'!$B$6))</f>
        <v/>
      </c>
      <c r="D23" s="20">
        <f>IF($A23="","",SUMIFS('Transactions'!$N$3:$N$2002,'Transactions'!$H$3:$H$2002,$A23,'Transactions'!$A$3:$A$2002,"&gt;="&amp;'Settings'!$B$5,'Transactions'!$A$3:$A$2002,"&lt;="&amp;'Settings'!$B$6))</f>
        <v/>
      </c>
      <c r="E23" s="23">
        <f>IF($A23="","",IFERROR(D23/SUM($D$6:$D$35),0))</f>
        <v/>
      </c>
      <c r="F23" s="23">
        <f>IF($A23="","",IFERROR(SUMIFS('Transactions'!$L$3:$L$2002,'Transactions'!$H$3:$H$2002,$A23,'Transactions'!$A$3:$A$2002,"&gt;="&amp;'Settings'!$B$5,'Transactions'!$A$3:$A$2002,"&lt;="&amp;'Settings'!$B$6)/SUMIFS('Transactions'!$M$3:$M$2002,'Transactions'!$H$3:$H$2002,$A23,'Transactions'!$A$3:$A$2002,"&gt;="&amp;'Settings'!$B$5,'Transactions'!$A$3:$A$2002,"&lt;="&amp;'Settings'!$B$6),0))</f>
        <v/>
      </c>
      <c r="H23" s="24">
        <f>IF($A23="",0,D23+ROW()/1000000)</f>
        <v/>
      </c>
    </row>
    <row r="24">
      <c r="A24" s="9">
        <f>IF(INDEX('Settings'!$I$10:$I$39,19)="","",INDEX('Settings'!$I$10:$I$39,19))</f>
        <v/>
      </c>
      <c r="B24" s="9">
        <f>IF($A24="","",INDEX('Settings'!$J$10:$J$39,19))</f>
        <v/>
      </c>
      <c r="C24" s="16">
        <f>IF($A24="","",SUMIFS('Transactions'!$J$3:$J$2002,'Transactions'!$H$3:$H$2002,$A24,'Transactions'!$A$3:$A$2002,"&gt;="&amp;'Settings'!$B$5,'Transactions'!$A$3:$A$2002,"&lt;="&amp;'Settings'!$B$6))</f>
        <v/>
      </c>
      <c r="D24" s="20">
        <f>IF($A24="","",SUMIFS('Transactions'!$N$3:$N$2002,'Transactions'!$H$3:$H$2002,$A24,'Transactions'!$A$3:$A$2002,"&gt;="&amp;'Settings'!$B$5,'Transactions'!$A$3:$A$2002,"&lt;="&amp;'Settings'!$B$6))</f>
        <v/>
      </c>
      <c r="E24" s="23">
        <f>IF($A24="","",IFERROR(D24/SUM($D$6:$D$35),0))</f>
        <v/>
      </c>
      <c r="F24" s="23">
        <f>IF($A24="","",IFERROR(SUMIFS('Transactions'!$L$3:$L$2002,'Transactions'!$H$3:$H$2002,$A24,'Transactions'!$A$3:$A$2002,"&gt;="&amp;'Settings'!$B$5,'Transactions'!$A$3:$A$2002,"&lt;="&amp;'Settings'!$B$6)/SUMIFS('Transactions'!$M$3:$M$2002,'Transactions'!$H$3:$H$2002,$A24,'Transactions'!$A$3:$A$2002,"&gt;="&amp;'Settings'!$B$5,'Transactions'!$A$3:$A$2002,"&lt;="&amp;'Settings'!$B$6),0))</f>
        <v/>
      </c>
      <c r="H24" s="24">
        <f>IF($A24="",0,D24+ROW()/1000000)</f>
        <v/>
      </c>
    </row>
    <row r="25">
      <c r="A25" s="9">
        <f>IF(INDEX('Settings'!$I$10:$I$39,20)="","",INDEX('Settings'!$I$10:$I$39,20))</f>
        <v/>
      </c>
      <c r="B25" s="9">
        <f>IF($A25="","",INDEX('Settings'!$J$10:$J$39,20))</f>
        <v/>
      </c>
      <c r="C25" s="16">
        <f>IF($A25="","",SUMIFS('Transactions'!$J$3:$J$2002,'Transactions'!$H$3:$H$2002,$A25,'Transactions'!$A$3:$A$2002,"&gt;="&amp;'Settings'!$B$5,'Transactions'!$A$3:$A$2002,"&lt;="&amp;'Settings'!$B$6))</f>
        <v/>
      </c>
      <c r="D25" s="20">
        <f>IF($A25="","",SUMIFS('Transactions'!$N$3:$N$2002,'Transactions'!$H$3:$H$2002,$A25,'Transactions'!$A$3:$A$2002,"&gt;="&amp;'Settings'!$B$5,'Transactions'!$A$3:$A$2002,"&lt;="&amp;'Settings'!$B$6))</f>
        <v/>
      </c>
      <c r="E25" s="23">
        <f>IF($A25="","",IFERROR(D25/SUM($D$6:$D$35),0))</f>
        <v/>
      </c>
      <c r="F25" s="23">
        <f>IF($A25="","",IFERROR(SUMIFS('Transactions'!$L$3:$L$2002,'Transactions'!$H$3:$H$2002,$A25,'Transactions'!$A$3:$A$2002,"&gt;="&amp;'Settings'!$B$5,'Transactions'!$A$3:$A$2002,"&lt;="&amp;'Settings'!$B$6)/SUMIFS('Transactions'!$M$3:$M$2002,'Transactions'!$H$3:$H$2002,$A25,'Transactions'!$A$3:$A$2002,"&gt;="&amp;'Settings'!$B$5,'Transactions'!$A$3:$A$2002,"&lt;="&amp;'Settings'!$B$6),0))</f>
        <v/>
      </c>
      <c r="H25" s="24">
        <f>IF($A25="",0,D25+ROW()/1000000)</f>
        <v/>
      </c>
    </row>
    <row r="26">
      <c r="A26" s="9">
        <f>IF(INDEX('Settings'!$I$10:$I$39,21)="","",INDEX('Settings'!$I$10:$I$39,21))</f>
        <v/>
      </c>
      <c r="B26" s="9">
        <f>IF($A26="","",INDEX('Settings'!$J$10:$J$39,21))</f>
        <v/>
      </c>
      <c r="C26" s="16">
        <f>IF($A26="","",SUMIFS('Transactions'!$J$3:$J$2002,'Transactions'!$H$3:$H$2002,$A26,'Transactions'!$A$3:$A$2002,"&gt;="&amp;'Settings'!$B$5,'Transactions'!$A$3:$A$2002,"&lt;="&amp;'Settings'!$B$6))</f>
        <v/>
      </c>
      <c r="D26" s="20">
        <f>IF($A26="","",SUMIFS('Transactions'!$N$3:$N$2002,'Transactions'!$H$3:$H$2002,$A26,'Transactions'!$A$3:$A$2002,"&gt;="&amp;'Settings'!$B$5,'Transactions'!$A$3:$A$2002,"&lt;="&amp;'Settings'!$B$6))</f>
        <v/>
      </c>
      <c r="E26" s="23">
        <f>IF($A26="","",IFERROR(D26/SUM($D$6:$D$35),0))</f>
        <v/>
      </c>
      <c r="F26" s="23">
        <f>IF($A26="","",IFERROR(SUMIFS('Transactions'!$L$3:$L$2002,'Transactions'!$H$3:$H$2002,$A26,'Transactions'!$A$3:$A$2002,"&gt;="&amp;'Settings'!$B$5,'Transactions'!$A$3:$A$2002,"&lt;="&amp;'Settings'!$B$6)/SUMIFS('Transactions'!$M$3:$M$2002,'Transactions'!$H$3:$H$2002,$A26,'Transactions'!$A$3:$A$2002,"&gt;="&amp;'Settings'!$B$5,'Transactions'!$A$3:$A$2002,"&lt;="&amp;'Settings'!$B$6),0))</f>
        <v/>
      </c>
      <c r="H26" s="24">
        <f>IF($A26="",0,D26+ROW()/1000000)</f>
        <v/>
      </c>
    </row>
    <row r="27">
      <c r="A27" s="9">
        <f>IF(INDEX('Settings'!$I$10:$I$39,22)="","",INDEX('Settings'!$I$10:$I$39,22))</f>
        <v/>
      </c>
      <c r="B27" s="9">
        <f>IF($A27="","",INDEX('Settings'!$J$10:$J$39,22))</f>
        <v/>
      </c>
      <c r="C27" s="16">
        <f>IF($A27="","",SUMIFS('Transactions'!$J$3:$J$2002,'Transactions'!$H$3:$H$2002,$A27,'Transactions'!$A$3:$A$2002,"&gt;="&amp;'Settings'!$B$5,'Transactions'!$A$3:$A$2002,"&lt;="&amp;'Settings'!$B$6))</f>
        <v/>
      </c>
      <c r="D27" s="20">
        <f>IF($A27="","",SUMIFS('Transactions'!$N$3:$N$2002,'Transactions'!$H$3:$H$2002,$A27,'Transactions'!$A$3:$A$2002,"&gt;="&amp;'Settings'!$B$5,'Transactions'!$A$3:$A$2002,"&lt;="&amp;'Settings'!$B$6))</f>
        <v/>
      </c>
      <c r="E27" s="23">
        <f>IF($A27="","",IFERROR(D27/SUM($D$6:$D$35),0))</f>
        <v/>
      </c>
      <c r="F27" s="23">
        <f>IF($A27="","",IFERROR(SUMIFS('Transactions'!$L$3:$L$2002,'Transactions'!$H$3:$H$2002,$A27,'Transactions'!$A$3:$A$2002,"&gt;="&amp;'Settings'!$B$5,'Transactions'!$A$3:$A$2002,"&lt;="&amp;'Settings'!$B$6)/SUMIFS('Transactions'!$M$3:$M$2002,'Transactions'!$H$3:$H$2002,$A27,'Transactions'!$A$3:$A$2002,"&gt;="&amp;'Settings'!$B$5,'Transactions'!$A$3:$A$2002,"&lt;="&amp;'Settings'!$B$6),0))</f>
        <v/>
      </c>
      <c r="H27" s="24">
        <f>IF($A27="",0,D27+ROW()/1000000)</f>
        <v/>
      </c>
    </row>
    <row r="28">
      <c r="A28" s="9">
        <f>IF(INDEX('Settings'!$I$10:$I$39,23)="","",INDEX('Settings'!$I$10:$I$39,23))</f>
        <v/>
      </c>
      <c r="B28" s="9">
        <f>IF($A28="","",INDEX('Settings'!$J$10:$J$39,23))</f>
        <v/>
      </c>
      <c r="C28" s="16">
        <f>IF($A28="","",SUMIFS('Transactions'!$J$3:$J$2002,'Transactions'!$H$3:$H$2002,$A28,'Transactions'!$A$3:$A$2002,"&gt;="&amp;'Settings'!$B$5,'Transactions'!$A$3:$A$2002,"&lt;="&amp;'Settings'!$B$6))</f>
        <v/>
      </c>
      <c r="D28" s="20">
        <f>IF($A28="","",SUMIFS('Transactions'!$N$3:$N$2002,'Transactions'!$H$3:$H$2002,$A28,'Transactions'!$A$3:$A$2002,"&gt;="&amp;'Settings'!$B$5,'Transactions'!$A$3:$A$2002,"&lt;="&amp;'Settings'!$B$6))</f>
        <v/>
      </c>
      <c r="E28" s="23">
        <f>IF($A28="","",IFERROR(D28/SUM($D$6:$D$35),0))</f>
        <v/>
      </c>
      <c r="F28" s="23">
        <f>IF($A28="","",IFERROR(SUMIFS('Transactions'!$L$3:$L$2002,'Transactions'!$H$3:$H$2002,$A28,'Transactions'!$A$3:$A$2002,"&gt;="&amp;'Settings'!$B$5,'Transactions'!$A$3:$A$2002,"&lt;="&amp;'Settings'!$B$6)/SUMIFS('Transactions'!$M$3:$M$2002,'Transactions'!$H$3:$H$2002,$A28,'Transactions'!$A$3:$A$2002,"&gt;="&amp;'Settings'!$B$5,'Transactions'!$A$3:$A$2002,"&lt;="&amp;'Settings'!$B$6),0))</f>
        <v/>
      </c>
      <c r="H28" s="24">
        <f>IF($A28="",0,D28+ROW()/1000000)</f>
        <v/>
      </c>
    </row>
    <row r="29">
      <c r="A29" s="9">
        <f>IF(INDEX('Settings'!$I$10:$I$39,24)="","",INDEX('Settings'!$I$10:$I$39,24))</f>
        <v/>
      </c>
      <c r="B29" s="9">
        <f>IF($A29="","",INDEX('Settings'!$J$10:$J$39,24))</f>
        <v/>
      </c>
      <c r="C29" s="16">
        <f>IF($A29="","",SUMIFS('Transactions'!$J$3:$J$2002,'Transactions'!$H$3:$H$2002,$A29,'Transactions'!$A$3:$A$2002,"&gt;="&amp;'Settings'!$B$5,'Transactions'!$A$3:$A$2002,"&lt;="&amp;'Settings'!$B$6))</f>
        <v/>
      </c>
      <c r="D29" s="20">
        <f>IF($A29="","",SUMIFS('Transactions'!$N$3:$N$2002,'Transactions'!$H$3:$H$2002,$A29,'Transactions'!$A$3:$A$2002,"&gt;="&amp;'Settings'!$B$5,'Transactions'!$A$3:$A$2002,"&lt;="&amp;'Settings'!$B$6))</f>
        <v/>
      </c>
      <c r="E29" s="23">
        <f>IF($A29="","",IFERROR(D29/SUM($D$6:$D$35),0))</f>
        <v/>
      </c>
      <c r="F29" s="23">
        <f>IF($A29="","",IFERROR(SUMIFS('Transactions'!$L$3:$L$2002,'Transactions'!$H$3:$H$2002,$A29,'Transactions'!$A$3:$A$2002,"&gt;="&amp;'Settings'!$B$5,'Transactions'!$A$3:$A$2002,"&lt;="&amp;'Settings'!$B$6)/SUMIFS('Transactions'!$M$3:$M$2002,'Transactions'!$H$3:$H$2002,$A29,'Transactions'!$A$3:$A$2002,"&gt;="&amp;'Settings'!$B$5,'Transactions'!$A$3:$A$2002,"&lt;="&amp;'Settings'!$B$6),0))</f>
        <v/>
      </c>
      <c r="H29" s="24">
        <f>IF($A29="",0,D29+ROW()/1000000)</f>
        <v/>
      </c>
    </row>
    <row r="30">
      <c r="A30" s="9">
        <f>IF(INDEX('Settings'!$I$10:$I$39,25)="","",INDEX('Settings'!$I$10:$I$39,25))</f>
        <v/>
      </c>
      <c r="B30" s="9">
        <f>IF($A30="","",INDEX('Settings'!$J$10:$J$39,25))</f>
        <v/>
      </c>
      <c r="C30" s="16">
        <f>IF($A30="","",SUMIFS('Transactions'!$J$3:$J$2002,'Transactions'!$H$3:$H$2002,$A30,'Transactions'!$A$3:$A$2002,"&gt;="&amp;'Settings'!$B$5,'Transactions'!$A$3:$A$2002,"&lt;="&amp;'Settings'!$B$6))</f>
        <v/>
      </c>
      <c r="D30" s="20">
        <f>IF($A30="","",SUMIFS('Transactions'!$N$3:$N$2002,'Transactions'!$H$3:$H$2002,$A30,'Transactions'!$A$3:$A$2002,"&gt;="&amp;'Settings'!$B$5,'Transactions'!$A$3:$A$2002,"&lt;="&amp;'Settings'!$B$6))</f>
        <v/>
      </c>
      <c r="E30" s="23">
        <f>IF($A30="","",IFERROR(D30/SUM($D$6:$D$35),0))</f>
        <v/>
      </c>
      <c r="F30" s="23">
        <f>IF($A30="","",IFERROR(SUMIFS('Transactions'!$L$3:$L$2002,'Transactions'!$H$3:$H$2002,$A30,'Transactions'!$A$3:$A$2002,"&gt;="&amp;'Settings'!$B$5,'Transactions'!$A$3:$A$2002,"&lt;="&amp;'Settings'!$B$6)/SUMIFS('Transactions'!$M$3:$M$2002,'Transactions'!$H$3:$H$2002,$A30,'Transactions'!$A$3:$A$2002,"&gt;="&amp;'Settings'!$B$5,'Transactions'!$A$3:$A$2002,"&lt;="&amp;'Settings'!$B$6),0))</f>
        <v/>
      </c>
      <c r="H30" s="24">
        <f>IF($A30="",0,D30+ROW()/1000000)</f>
        <v/>
      </c>
    </row>
    <row r="31">
      <c r="A31" s="9">
        <f>IF(INDEX('Settings'!$I$10:$I$39,26)="","",INDEX('Settings'!$I$10:$I$39,26))</f>
        <v/>
      </c>
      <c r="B31" s="9">
        <f>IF($A31="","",INDEX('Settings'!$J$10:$J$39,26))</f>
        <v/>
      </c>
      <c r="C31" s="16">
        <f>IF($A31="","",SUMIFS('Transactions'!$J$3:$J$2002,'Transactions'!$H$3:$H$2002,$A31,'Transactions'!$A$3:$A$2002,"&gt;="&amp;'Settings'!$B$5,'Transactions'!$A$3:$A$2002,"&lt;="&amp;'Settings'!$B$6))</f>
        <v/>
      </c>
      <c r="D31" s="20">
        <f>IF($A31="","",SUMIFS('Transactions'!$N$3:$N$2002,'Transactions'!$H$3:$H$2002,$A31,'Transactions'!$A$3:$A$2002,"&gt;="&amp;'Settings'!$B$5,'Transactions'!$A$3:$A$2002,"&lt;="&amp;'Settings'!$B$6))</f>
        <v/>
      </c>
      <c r="E31" s="23">
        <f>IF($A31="","",IFERROR(D31/SUM($D$6:$D$35),0))</f>
        <v/>
      </c>
      <c r="F31" s="23">
        <f>IF($A31="","",IFERROR(SUMIFS('Transactions'!$L$3:$L$2002,'Transactions'!$H$3:$H$2002,$A31,'Transactions'!$A$3:$A$2002,"&gt;="&amp;'Settings'!$B$5,'Transactions'!$A$3:$A$2002,"&lt;="&amp;'Settings'!$B$6)/SUMIFS('Transactions'!$M$3:$M$2002,'Transactions'!$H$3:$H$2002,$A31,'Transactions'!$A$3:$A$2002,"&gt;="&amp;'Settings'!$B$5,'Transactions'!$A$3:$A$2002,"&lt;="&amp;'Settings'!$B$6),0))</f>
        <v/>
      </c>
      <c r="H31" s="24">
        <f>IF($A31="",0,D31+ROW()/1000000)</f>
        <v/>
      </c>
    </row>
    <row r="32">
      <c r="A32" s="9">
        <f>IF(INDEX('Settings'!$I$10:$I$39,27)="","",INDEX('Settings'!$I$10:$I$39,27))</f>
        <v/>
      </c>
      <c r="B32" s="9">
        <f>IF($A32="","",INDEX('Settings'!$J$10:$J$39,27))</f>
        <v/>
      </c>
      <c r="C32" s="16">
        <f>IF($A32="","",SUMIFS('Transactions'!$J$3:$J$2002,'Transactions'!$H$3:$H$2002,$A32,'Transactions'!$A$3:$A$2002,"&gt;="&amp;'Settings'!$B$5,'Transactions'!$A$3:$A$2002,"&lt;="&amp;'Settings'!$B$6))</f>
        <v/>
      </c>
      <c r="D32" s="20">
        <f>IF($A32="","",SUMIFS('Transactions'!$N$3:$N$2002,'Transactions'!$H$3:$H$2002,$A32,'Transactions'!$A$3:$A$2002,"&gt;="&amp;'Settings'!$B$5,'Transactions'!$A$3:$A$2002,"&lt;="&amp;'Settings'!$B$6))</f>
        <v/>
      </c>
      <c r="E32" s="23">
        <f>IF($A32="","",IFERROR(D32/SUM($D$6:$D$35),0))</f>
        <v/>
      </c>
      <c r="F32" s="23">
        <f>IF($A32="","",IFERROR(SUMIFS('Transactions'!$L$3:$L$2002,'Transactions'!$H$3:$H$2002,$A32,'Transactions'!$A$3:$A$2002,"&gt;="&amp;'Settings'!$B$5,'Transactions'!$A$3:$A$2002,"&lt;="&amp;'Settings'!$B$6)/SUMIFS('Transactions'!$M$3:$M$2002,'Transactions'!$H$3:$H$2002,$A32,'Transactions'!$A$3:$A$2002,"&gt;="&amp;'Settings'!$B$5,'Transactions'!$A$3:$A$2002,"&lt;="&amp;'Settings'!$B$6),0))</f>
        <v/>
      </c>
      <c r="H32" s="24">
        <f>IF($A32="",0,D32+ROW()/1000000)</f>
        <v/>
      </c>
    </row>
    <row r="33">
      <c r="A33" s="9">
        <f>IF(INDEX('Settings'!$I$10:$I$39,28)="","",INDEX('Settings'!$I$10:$I$39,28))</f>
        <v/>
      </c>
      <c r="B33" s="9">
        <f>IF($A33="","",INDEX('Settings'!$J$10:$J$39,28))</f>
        <v/>
      </c>
      <c r="C33" s="16">
        <f>IF($A33="","",SUMIFS('Transactions'!$J$3:$J$2002,'Transactions'!$H$3:$H$2002,$A33,'Transactions'!$A$3:$A$2002,"&gt;="&amp;'Settings'!$B$5,'Transactions'!$A$3:$A$2002,"&lt;="&amp;'Settings'!$B$6))</f>
        <v/>
      </c>
      <c r="D33" s="20">
        <f>IF($A33="","",SUMIFS('Transactions'!$N$3:$N$2002,'Transactions'!$H$3:$H$2002,$A33,'Transactions'!$A$3:$A$2002,"&gt;="&amp;'Settings'!$B$5,'Transactions'!$A$3:$A$2002,"&lt;="&amp;'Settings'!$B$6))</f>
        <v/>
      </c>
      <c r="E33" s="23">
        <f>IF($A33="","",IFERROR(D33/SUM($D$6:$D$35),0))</f>
        <v/>
      </c>
      <c r="F33" s="23">
        <f>IF($A33="","",IFERROR(SUMIFS('Transactions'!$L$3:$L$2002,'Transactions'!$H$3:$H$2002,$A33,'Transactions'!$A$3:$A$2002,"&gt;="&amp;'Settings'!$B$5,'Transactions'!$A$3:$A$2002,"&lt;="&amp;'Settings'!$B$6)/SUMIFS('Transactions'!$M$3:$M$2002,'Transactions'!$H$3:$H$2002,$A33,'Transactions'!$A$3:$A$2002,"&gt;="&amp;'Settings'!$B$5,'Transactions'!$A$3:$A$2002,"&lt;="&amp;'Settings'!$B$6),0))</f>
        <v/>
      </c>
      <c r="H33" s="24">
        <f>IF($A33="",0,D33+ROW()/1000000)</f>
        <v/>
      </c>
    </row>
    <row r="34">
      <c r="A34" s="9">
        <f>IF(INDEX('Settings'!$I$10:$I$39,29)="","",INDEX('Settings'!$I$10:$I$39,29))</f>
        <v/>
      </c>
      <c r="B34" s="9">
        <f>IF($A34="","",INDEX('Settings'!$J$10:$J$39,29))</f>
        <v/>
      </c>
      <c r="C34" s="16">
        <f>IF($A34="","",SUMIFS('Transactions'!$J$3:$J$2002,'Transactions'!$H$3:$H$2002,$A34,'Transactions'!$A$3:$A$2002,"&gt;="&amp;'Settings'!$B$5,'Transactions'!$A$3:$A$2002,"&lt;="&amp;'Settings'!$B$6))</f>
        <v/>
      </c>
      <c r="D34" s="20">
        <f>IF($A34="","",SUMIFS('Transactions'!$N$3:$N$2002,'Transactions'!$H$3:$H$2002,$A34,'Transactions'!$A$3:$A$2002,"&gt;="&amp;'Settings'!$B$5,'Transactions'!$A$3:$A$2002,"&lt;="&amp;'Settings'!$B$6))</f>
        <v/>
      </c>
      <c r="E34" s="23">
        <f>IF($A34="","",IFERROR(D34/SUM($D$6:$D$35),0))</f>
        <v/>
      </c>
      <c r="F34" s="23">
        <f>IF($A34="","",IFERROR(SUMIFS('Transactions'!$L$3:$L$2002,'Transactions'!$H$3:$H$2002,$A34,'Transactions'!$A$3:$A$2002,"&gt;="&amp;'Settings'!$B$5,'Transactions'!$A$3:$A$2002,"&lt;="&amp;'Settings'!$B$6)/SUMIFS('Transactions'!$M$3:$M$2002,'Transactions'!$H$3:$H$2002,$A34,'Transactions'!$A$3:$A$2002,"&gt;="&amp;'Settings'!$B$5,'Transactions'!$A$3:$A$2002,"&lt;="&amp;'Settings'!$B$6),0))</f>
        <v/>
      </c>
      <c r="H34" s="24">
        <f>IF($A34="",0,D34+ROW()/1000000)</f>
        <v/>
      </c>
    </row>
    <row r="35">
      <c r="A35" s="9">
        <f>IF(INDEX('Settings'!$I$10:$I$39,30)="","",INDEX('Settings'!$I$10:$I$39,30))</f>
        <v/>
      </c>
      <c r="B35" s="9">
        <f>IF($A35="","",INDEX('Settings'!$J$10:$J$39,30))</f>
        <v/>
      </c>
      <c r="C35" s="16">
        <f>IF($A35="","",SUMIFS('Transactions'!$J$3:$J$2002,'Transactions'!$H$3:$H$2002,$A35,'Transactions'!$A$3:$A$2002,"&gt;="&amp;'Settings'!$B$5,'Transactions'!$A$3:$A$2002,"&lt;="&amp;'Settings'!$B$6))</f>
        <v/>
      </c>
      <c r="D35" s="20">
        <f>IF($A35="","",SUMIFS('Transactions'!$N$3:$N$2002,'Transactions'!$H$3:$H$2002,$A35,'Transactions'!$A$3:$A$2002,"&gt;="&amp;'Settings'!$B$5,'Transactions'!$A$3:$A$2002,"&lt;="&amp;'Settings'!$B$6))</f>
        <v/>
      </c>
      <c r="E35" s="23">
        <f>IF($A35="","",IFERROR(D35/SUM($D$6:$D$35),0))</f>
        <v/>
      </c>
      <c r="F35" s="23">
        <f>IF($A35="","",IFERROR(SUMIFS('Transactions'!$L$3:$L$2002,'Transactions'!$H$3:$H$2002,$A35,'Transactions'!$A$3:$A$2002,"&gt;="&amp;'Settings'!$B$5,'Transactions'!$A$3:$A$2002,"&lt;="&amp;'Settings'!$B$6)/SUMIFS('Transactions'!$M$3:$M$2002,'Transactions'!$H$3:$H$2002,$A35,'Transactions'!$A$3:$A$2002,"&gt;="&amp;'Settings'!$B$5,'Transactions'!$A$3:$A$2002,"&lt;="&amp;'Settings'!$B$6),0))</f>
        <v/>
      </c>
      <c r="H35" s="24">
        <f>IF($A35="",0,D35+ROW()/1000000)</f>
        <v/>
      </c>
    </row>
    <row r="36">
      <c r="A36" s="2" t="inlineStr">
        <is>
          <t>Amber: a discount rate of 10% or more. The sort key feeds the top 10 on the dashboard.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F6:F35">
    <cfRule type="expression" priority="1" dxfId="0">
      <formula>AND(ISNUMBER(F6),F6&gt;=0.1)</formula>
    </cfRule>
  </conditionalFormatting>
  <pageMargins left="0.75" right="0.75" top="1" bottom="1" header="0.5" footer="0.5"/>
  <pageSetup paperSize="9" fitToHeight="0" fitToWidth="1"/>
</worksheet>
</file>

<file path=xl/worksheets/sheet7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H28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8">
        <f>'Settings'!B3</f>
        <v/>
      </c>
    </row>
    <row r="2">
      <c r="A2" s="19" t="inlineStr">
        <is>
          <t>New patients and revenue by source</t>
        </is>
      </c>
    </row>
    <row r="3">
      <c r="A3" s="2">
        <f>"Period: "&amp;TEXT('Settings'!$B$5,"yyyy-mm-dd")&amp;" → "&amp;TEXT('Settings'!$B$6,"yyyy-mm-dd")&amp;"   ·   Amounts in "&amp;'Settings'!$B$4</f>
        <v/>
      </c>
    </row>
    <row r="5">
      <c r="A5" s="11" t="inlineStr">
        <is>
          <t>New patients (first visits)</t>
        </is>
      </c>
    </row>
    <row r="6">
      <c r="A6" s="7" t="inlineStr">
        <is>
          <t>Source</t>
        </is>
      </c>
      <c r="B6" s="25">
        <f>EDATE(DATE(YEAR('Settings'!$B$5),MONTH('Settings'!$B$5),1),0)</f>
        <v/>
      </c>
      <c r="C6" s="25">
        <f>EDATE(DATE(YEAR('Settings'!$B$5),MONTH('Settings'!$B$5),1),1)</f>
        <v/>
      </c>
      <c r="D6" s="25">
        <f>EDATE(DATE(YEAR('Settings'!$B$5),MONTH('Settings'!$B$5),1),2)</f>
        <v/>
      </c>
      <c r="E6" s="25">
        <f>EDATE(DATE(YEAR('Settings'!$B$5),MONTH('Settings'!$B$5),1),3)</f>
        <v/>
      </c>
      <c r="F6" s="25">
        <f>EDATE(DATE(YEAR('Settings'!$B$5),MONTH('Settings'!$B$5),1),4)</f>
        <v/>
      </c>
      <c r="G6" s="25">
        <f>EDATE(DATE(YEAR('Settings'!$B$5),MONTH('Settings'!$B$5),1),5)</f>
        <v/>
      </c>
      <c r="H6" s="7" t="inlineStr">
        <is>
          <t>Period</t>
        </is>
      </c>
    </row>
    <row r="7">
      <c r="A7" s="9">
        <f>IF(INDEX('Settings'!$O$10:$O$39,1)="","",INDEX('Settings'!$O$10:$O$39,1))</f>
        <v/>
      </c>
      <c r="B7" s="16">
        <f>IF($A7="","",COUNTIFS('Transactions'!$G$3:$G$2002,$A7,'Transactions'!$P$3:$P$2002,B$6,'Transactions'!$F$3:$F$2002,"New"))</f>
        <v/>
      </c>
      <c r="C7" s="16">
        <f>IF($A7="","",COUNTIFS('Transactions'!$G$3:$G$2002,$A7,'Transactions'!$P$3:$P$2002,C$6,'Transactions'!$F$3:$F$2002,"New"))</f>
        <v/>
      </c>
      <c r="D7" s="16">
        <f>IF($A7="","",COUNTIFS('Transactions'!$G$3:$G$2002,$A7,'Transactions'!$P$3:$P$2002,D$6,'Transactions'!$F$3:$F$2002,"New"))</f>
        <v/>
      </c>
      <c r="E7" s="16">
        <f>IF($A7="","",COUNTIFS('Transactions'!$G$3:$G$2002,$A7,'Transactions'!$P$3:$P$2002,E$6,'Transactions'!$F$3:$F$2002,"New"))</f>
        <v/>
      </c>
      <c r="F7" s="16">
        <f>IF($A7="","",COUNTIFS('Transactions'!$G$3:$G$2002,$A7,'Transactions'!$P$3:$P$2002,F$6,'Transactions'!$F$3:$F$2002,"New"))</f>
        <v/>
      </c>
      <c r="G7" s="16">
        <f>IF($A7="","",COUNTIFS('Transactions'!$G$3:$G$2002,$A7,'Transactions'!$P$3:$P$2002,G$6,'Transactions'!$F$3:$F$2002,"New"))</f>
        <v/>
      </c>
      <c r="H7" s="16">
        <f>IF($A7="","",COUNTIFS('Transactions'!$G$3:$G$2002,$A7,'Transactions'!$A$3:$A$2002,"&gt;="&amp;'Settings'!$B$5,'Transactions'!$A$3:$A$2002,"&lt;="&amp;'Settings'!$B$6,'Transactions'!$F$3:$F$2002,"New"))</f>
        <v/>
      </c>
    </row>
    <row r="8">
      <c r="A8" s="9">
        <f>IF(INDEX('Settings'!$O$10:$O$39,2)="","",INDEX('Settings'!$O$10:$O$39,2))</f>
        <v/>
      </c>
      <c r="B8" s="16">
        <f>IF($A8="","",COUNTIFS('Transactions'!$G$3:$G$2002,$A8,'Transactions'!$P$3:$P$2002,B$6,'Transactions'!$F$3:$F$2002,"New"))</f>
        <v/>
      </c>
      <c r="C8" s="16">
        <f>IF($A8="","",COUNTIFS('Transactions'!$G$3:$G$2002,$A8,'Transactions'!$P$3:$P$2002,C$6,'Transactions'!$F$3:$F$2002,"New"))</f>
        <v/>
      </c>
      <c r="D8" s="16">
        <f>IF($A8="","",COUNTIFS('Transactions'!$G$3:$G$2002,$A8,'Transactions'!$P$3:$P$2002,D$6,'Transactions'!$F$3:$F$2002,"New"))</f>
        <v/>
      </c>
      <c r="E8" s="16">
        <f>IF($A8="","",COUNTIFS('Transactions'!$G$3:$G$2002,$A8,'Transactions'!$P$3:$P$2002,E$6,'Transactions'!$F$3:$F$2002,"New"))</f>
        <v/>
      </c>
      <c r="F8" s="16">
        <f>IF($A8="","",COUNTIFS('Transactions'!$G$3:$G$2002,$A8,'Transactions'!$P$3:$P$2002,F$6,'Transactions'!$F$3:$F$2002,"New"))</f>
        <v/>
      </c>
      <c r="G8" s="16">
        <f>IF($A8="","",COUNTIFS('Transactions'!$G$3:$G$2002,$A8,'Transactions'!$P$3:$P$2002,G$6,'Transactions'!$F$3:$F$2002,"New"))</f>
        <v/>
      </c>
      <c r="H8" s="16">
        <f>IF($A8="","",COUNTIFS('Transactions'!$G$3:$G$2002,$A8,'Transactions'!$A$3:$A$2002,"&gt;="&amp;'Settings'!$B$5,'Transactions'!$A$3:$A$2002,"&lt;="&amp;'Settings'!$B$6,'Transactions'!$F$3:$F$2002,"New"))</f>
        <v/>
      </c>
    </row>
    <row r="9">
      <c r="A9" s="9">
        <f>IF(INDEX('Settings'!$O$10:$O$39,3)="","",INDEX('Settings'!$O$10:$O$39,3))</f>
        <v/>
      </c>
      <c r="B9" s="16">
        <f>IF($A9="","",COUNTIFS('Transactions'!$G$3:$G$2002,$A9,'Transactions'!$P$3:$P$2002,B$6,'Transactions'!$F$3:$F$2002,"New"))</f>
        <v/>
      </c>
      <c r="C9" s="16">
        <f>IF($A9="","",COUNTIFS('Transactions'!$G$3:$G$2002,$A9,'Transactions'!$P$3:$P$2002,C$6,'Transactions'!$F$3:$F$2002,"New"))</f>
        <v/>
      </c>
      <c r="D9" s="16">
        <f>IF($A9="","",COUNTIFS('Transactions'!$G$3:$G$2002,$A9,'Transactions'!$P$3:$P$2002,D$6,'Transactions'!$F$3:$F$2002,"New"))</f>
        <v/>
      </c>
      <c r="E9" s="16">
        <f>IF($A9="","",COUNTIFS('Transactions'!$G$3:$G$2002,$A9,'Transactions'!$P$3:$P$2002,E$6,'Transactions'!$F$3:$F$2002,"New"))</f>
        <v/>
      </c>
      <c r="F9" s="16">
        <f>IF($A9="","",COUNTIFS('Transactions'!$G$3:$G$2002,$A9,'Transactions'!$P$3:$P$2002,F$6,'Transactions'!$F$3:$F$2002,"New"))</f>
        <v/>
      </c>
      <c r="G9" s="16">
        <f>IF($A9="","",COUNTIFS('Transactions'!$G$3:$G$2002,$A9,'Transactions'!$P$3:$P$2002,G$6,'Transactions'!$F$3:$F$2002,"New"))</f>
        <v/>
      </c>
      <c r="H9" s="16">
        <f>IF($A9="","",COUNTIFS('Transactions'!$G$3:$G$2002,$A9,'Transactions'!$A$3:$A$2002,"&gt;="&amp;'Settings'!$B$5,'Transactions'!$A$3:$A$2002,"&lt;="&amp;'Settings'!$B$6,'Transactions'!$F$3:$F$2002,"New"))</f>
        <v/>
      </c>
    </row>
    <row r="10">
      <c r="A10" s="9">
        <f>IF(INDEX('Settings'!$O$10:$O$39,4)="","",INDEX('Settings'!$O$10:$O$39,4))</f>
        <v/>
      </c>
      <c r="B10" s="16">
        <f>IF($A10="","",COUNTIFS('Transactions'!$G$3:$G$2002,$A10,'Transactions'!$P$3:$P$2002,B$6,'Transactions'!$F$3:$F$2002,"New"))</f>
        <v/>
      </c>
      <c r="C10" s="16">
        <f>IF($A10="","",COUNTIFS('Transactions'!$G$3:$G$2002,$A10,'Transactions'!$P$3:$P$2002,C$6,'Transactions'!$F$3:$F$2002,"New"))</f>
        <v/>
      </c>
      <c r="D10" s="16">
        <f>IF($A10="","",COUNTIFS('Transactions'!$G$3:$G$2002,$A10,'Transactions'!$P$3:$P$2002,D$6,'Transactions'!$F$3:$F$2002,"New"))</f>
        <v/>
      </c>
      <c r="E10" s="16">
        <f>IF($A10="","",COUNTIFS('Transactions'!$G$3:$G$2002,$A10,'Transactions'!$P$3:$P$2002,E$6,'Transactions'!$F$3:$F$2002,"New"))</f>
        <v/>
      </c>
      <c r="F10" s="16">
        <f>IF($A10="","",COUNTIFS('Transactions'!$G$3:$G$2002,$A10,'Transactions'!$P$3:$P$2002,F$6,'Transactions'!$F$3:$F$2002,"New"))</f>
        <v/>
      </c>
      <c r="G10" s="16">
        <f>IF($A10="","",COUNTIFS('Transactions'!$G$3:$G$2002,$A10,'Transactions'!$P$3:$P$2002,G$6,'Transactions'!$F$3:$F$2002,"New"))</f>
        <v/>
      </c>
      <c r="H10" s="16">
        <f>IF($A10="","",COUNTIFS('Transactions'!$G$3:$G$2002,$A10,'Transactions'!$A$3:$A$2002,"&gt;="&amp;'Settings'!$B$5,'Transactions'!$A$3:$A$2002,"&lt;="&amp;'Settings'!$B$6,'Transactions'!$F$3:$F$2002,"New"))</f>
        <v/>
      </c>
    </row>
    <row r="11">
      <c r="A11" s="9">
        <f>IF(INDEX('Settings'!$O$10:$O$39,5)="","",INDEX('Settings'!$O$10:$O$39,5))</f>
        <v/>
      </c>
      <c r="B11" s="16">
        <f>IF($A11="","",COUNTIFS('Transactions'!$G$3:$G$2002,$A11,'Transactions'!$P$3:$P$2002,B$6,'Transactions'!$F$3:$F$2002,"New"))</f>
        <v/>
      </c>
      <c r="C11" s="16">
        <f>IF($A11="","",COUNTIFS('Transactions'!$G$3:$G$2002,$A11,'Transactions'!$P$3:$P$2002,C$6,'Transactions'!$F$3:$F$2002,"New"))</f>
        <v/>
      </c>
      <c r="D11" s="16">
        <f>IF($A11="","",COUNTIFS('Transactions'!$G$3:$G$2002,$A11,'Transactions'!$P$3:$P$2002,D$6,'Transactions'!$F$3:$F$2002,"New"))</f>
        <v/>
      </c>
      <c r="E11" s="16">
        <f>IF($A11="","",COUNTIFS('Transactions'!$G$3:$G$2002,$A11,'Transactions'!$P$3:$P$2002,E$6,'Transactions'!$F$3:$F$2002,"New"))</f>
        <v/>
      </c>
      <c r="F11" s="16">
        <f>IF($A11="","",COUNTIFS('Transactions'!$G$3:$G$2002,$A11,'Transactions'!$P$3:$P$2002,F$6,'Transactions'!$F$3:$F$2002,"New"))</f>
        <v/>
      </c>
      <c r="G11" s="16">
        <f>IF($A11="","",COUNTIFS('Transactions'!$G$3:$G$2002,$A11,'Transactions'!$P$3:$P$2002,G$6,'Transactions'!$F$3:$F$2002,"New"))</f>
        <v/>
      </c>
      <c r="H11" s="16">
        <f>IF($A11="","",COUNTIFS('Transactions'!$G$3:$G$2002,$A11,'Transactions'!$A$3:$A$2002,"&gt;="&amp;'Settings'!$B$5,'Transactions'!$A$3:$A$2002,"&lt;="&amp;'Settings'!$B$6,'Transactions'!$F$3:$F$2002,"New"))</f>
        <v/>
      </c>
    </row>
    <row r="12">
      <c r="A12" s="9">
        <f>IF(INDEX('Settings'!$O$10:$O$39,6)="","",INDEX('Settings'!$O$10:$O$39,6))</f>
        <v/>
      </c>
      <c r="B12" s="16">
        <f>IF($A12="","",COUNTIFS('Transactions'!$G$3:$G$2002,$A12,'Transactions'!$P$3:$P$2002,B$6,'Transactions'!$F$3:$F$2002,"New"))</f>
        <v/>
      </c>
      <c r="C12" s="16">
        <f>IF($A12="","",COUNTIFS('Transactions'!$G$3:$G$2002,$A12,'Transactions'!$P$3:$P$2002,C$6,'Transactions'!$F$3:$F$2002,"New"))</f>
        <v/>
      </c>
      <c r="D12" s="16">
        <f>IF($A12="","",COUNTIFS('Transactions'!$G$3:$G$2002,$A12,'Transactions'!$P$3:$P$2002,D$6,'Transactions'!$F$3:$F$2002,"New"))</f>
        <v/>
      </c>
      <c r="E12" s="16">
        <f>IF($A12="","",COUNTIFS('Transactions'!$G$3:$G$2002,$A12,'Transactions'!$P$3:$P$2002,E$6,'Transactions'!$F$3:$F$2002,"New"))</f>
        <v/>
      </c>
      <c r="F12" s="16">
        <f>IF($A12="","",COUNTIFS('Transactions'!$G$3:$G$2002,$A12,'Transactions'!$P$3:$P$2002,F$6,'Transactions'!$F$3:$F$2002,"New"))</f>
        <v/>
      </c>
      <c r="G12" s="16">
        <f>IF($A12="","",COUNTIFS('Transactions'!$G$3:$G$2002,$A12,'Transactions'!$P$3:$P$2002,G$6,'Transactions'!$F$3:$F$2002,"New"))</f>
        <v/>
      </c>
      <c r="H12" s="16">
        <f>IF($A12="","",COUNTIFS('Transactions'!$G$3:$G$2002,$A12,'Transactions'!$A$3:$A$2002,"&gt;="&amp;'Settings'!$B$5,'Transactions'!$A$3:$A$2002,"&lt;="&amp;'Settings'!$B$6,'Transactions'!$F$3:$F$2002,"New"))</f>
        <v/>
      </c>
    </row>
    <row r="13">
      <c r="A13" s="9">
        <f>IF(INDEX('Settings'!$O$10:$O$39,7)="","",INDEX('Settings'!$O$10:$O$39,7))</f>
        <v/>
      </c>
      <c r="B13" s="16">
        <f>IF($A13="","",COUNTIFS('Transactions'!$G$3:$G$2002,$A13,'Transactions'!$P$3:$P$2002,B$6,'Transactions'!$F$3:$F$2002,"New"))</f>
        <v/>
      </c>
      <c r="C13" s="16">
        <f>IF($A13="","",COUNTIFS('Transactions'!$G$3:$G$2002,$A13,'Transactions'!$P$3:$P$2002,C$6,'Transactions'!$F$3:$F$2002,"New"))</f>
        <v/>
      </c>
      <c r="D13" s="16">
        <f>IF($A13="","",COUNTIFS('Transactions'!$G$3:$G$2002,$A13,'Transactions'!$P$3:$P$2002,D$6,'Transactions'!$F$3:$F$2002,"New"))</f>
        <v/>
      </c>
      <c r="E13" s="16">
        <f>IF($A13="","",COUNTIFS('Transactions'!$G$3:$G$2002,$A13,'Transactions'!$P$3:$P$2002,E$6,'Transactions'!$F$3:$F$2002,"New"))</f>
        <v/>
      </c>
      <c r="F13" s="16">
        <f>IF($A13="","",COUNTIFS('Transactions'!$G$3:$G$2002,$A13,'Transactions'!$P$3:$P$2002,F$6,'Transactions'!$F$3:$F$2002,"New"))</f>
        <v/>
      </c>
      <c r="G13" s="16">
        <f>IF($A13="","",COUNTIFS('Transactions'!$G$3:$G$2002,$A13,'Transactions'!$P$3:$P$2002,G$6,'Transactions'!$F$3:$F$2002,"New"))</f>
        <v/>
      </c>
      <c r="H13" s="16">
        <f>IF($A13="","",COUNTIFS('Transactions'!$G$3:$G$2002,$A13,'Transactions'!$A$3:$A$2002,"&gt;="&amp;'Settings'!$B$5,'Transactions'!$A$3:$A$2002,"&lt;="&amp;'Settings'!$B$6,'Transactions'!$F$3:$F$2002,"New"))</f>
        <v/>
      </c>
    </row>
    <row r="14">
      <c r="A14" s="9">
        <f>IF(INDEX('Settings'!$O$10:$O$39,8)="","",INDEX('Settings'!$O$10:$O$39,8))</f>
        <v/>
      </c>
      <c r="B14" s="16">
        <f>IF($A14="","",COUNTIFS('Transactions'!$G$3:$G$2002,$A14,'Transactions'!$P$3:$P$2002,B$6,'Transactions'!$F$3:$F$2002,"New"))</f>
        <v/>
      </c>
      <c r="C14" s="16">
        <f>IF($A14="","",COUNTIFS('Transactions'!$G$3:$G$2002,$A14,'Transactions'!$P$3:$P$2002,C$6,'Transactions'!$F$3:$F$2002,"New"))</f>
        <v/>
      </c>
      <c r="D14" s="16">
        <f>IF($A14="","",COUNTIFS('Transactions'!$G$3:$G$2002,$A14,'Transactions'!$P$3:$P$2002,D$6,'Transactions'!$F$3:$F$2002,"New"))</f>
        <v/>
      </c>
      <c r="E14" s="16">
        <f>IF($A14="","",COUNTIFS('Transactions'!$G$3:$G$2002,$A14,'Transactions'!$P$3:$P$2002,E$6,'Transactions'!$F$3:$F$2002,"New"))</f>
        <v/>
      </c>
      <c r="F14" s="16">
        <f>IF($A14="","",COUNTIFS('Transactions'!$G$3:$G$2002,$A14,'Transactions'!$P$3:$P$2002,F$6,'Transactions'!$F$3:$F$2002,"New"))</f>
        <v/>
      </c>
      <c r="G14" s="16">
        <f>IF($A14="","",COUNTIFS('Transactions'!$G$3:$G$2002,$A14,'Transactions'!$P$3:$P$2002,G$6,'Transactions'!$F$3:$F$2002,"New"))</f>
        <v/>
      </c>
      <c r="H14" s="16">
        <f>IF($A14="","",COUNTIFS('Transactions'!$G$3:$G$2002,$A14,'Transactions'!$A$3:$A$2002,"&gt;="&amp;'Settings'!$B$5,'Transactions'!$A$3:$A$2002,"&lt;="&amp;'Settings'!$B$6,'Transactions'!$F$3:$F$2002,"New"))</f>
        <v/>
      </c>
    </row>
    <row r="17">
      <c r="A17" s="11" t="inlineStr">
        <is>
          <t>Net revenue</t>
        </is>
      </c>
    </row>
    <row r="18">
      <c r="A18" s="7" t="inlineStr">
        <is>
          <t>Source</t>
        </is>
      </c>
      <c r="B18" s="25">
        <f>EDATE(DATE(YEAR('Settings'!$B$5),MONTH('Settings'!$B$5),1),0)</f>
        <v/>
      </c>
      <c r="C18" s="25">
        <f>EDATE(DATE(YEAR('Settings'!$B$5),MONTH('Settings'!$B$5),1),1)</f>
        <v/>
      </c>
      <c r="D18" s="25">
        <f>EDATE(DATE(YEAR('Settings'!$B$5),MONTH('Settings'!$B$5),1),2)</f>
        <v/>
      </c>
      <c r="E18" s="25">
        <f>EDATE(DATE(YEAR('Settings'!$B$5),MONTH('Settings'!$B$5),1),3)</f>
        <v/>
      </c>
      <c r="F18" s="25">
        <f>EDATE(DATE(YEAR('Settings'!$B$5),MONTH('Settings'!$B$5),1),4)</f>
        <v/>
      </c>
      <c r="G18" s="25">
        <f>EDATE(DATE(YEAR('Settings'!$B$5),MONTH('Settings'!$B$5),1),5)</f>
        <v/>
      </c>
      <c r="H18" s="7" t="inlineStr">
        <is>
          <t>Period</t>
        </is>
      </c>
    </row>
    <row r="19">
      <c r="A19" s="9">
        <f>IF(INDEX('Settings'!$O$10:$O$39,1)="","",INDEX('Settings'!$O$10:$O$39,1))</f>
        <v/>
      </c>
      <c r="B19" s="20">
        <f>IF($A19="","",SUMIFS('Transactions'!$N$3:$N$2002,'Transactions'!$G$3:$G$2002,$A19,'Transactions'!$P$3:$P$2002,B$18))</f>
        <v/>
      </c>
      <c r="C19" s="20">
        <f>IF($A19="","",SUMIFS('Transactions'!$N$3:$N$2002,'Transactions'!$G$3:$G$2002,$A19,'Transactions'!$P$3:$P$2002,C$18))</f>
        <v/>
      </c>
      <c r="D19" s="20">
        <f>IF($A19="","",SUMIFS('Transactions'!$N$3:$N$2002,'Transactions'!$G$3:$G$2002,$A19,'Transactions'!$P$3:$P$2002,D$18))</f>
        <v/>
      </c>
      <c r="E19" s="20">
        <f>IF($A19="","",SUMIFS('Transactions'!$N$3:$N$2002,'Transactions'!$G$3:$G$2002,$A19,'Transactions'!$P$3:$P$2002,E$18))</f>
        <v/>
      </c>
      <c r="F19" s="20">
        <f>IF($A19="","",SUMIFS('Transactions'!$N$3:$N$2002,'Transactions'!$G$3:$G$2002,$A19,'Transactions'!$P$3:$P$2002,F$18))</f>
        <v/>
      </c>
      <c r="G19" s="20">
        <f>IF($A19="","",SUMIFS('Transactions'!$N$3:$N$2002,'Transactions'!$G$3:$G$2002,$A19,'Transactions'!$P$3:$P$2002,G$18))</f>
        <v/>
      </c>
      <c r="H19" s="20">
        <f>IF($A19="","",SUMIFS('Transactions'!$N$3:$N$2002,'Transactions'!$G$3:$G$2002,$A19,'Transactions'!$A$3:$A$2002,"&gt;="&amp;'Settings'!$B$5,'Transactions'!$A$3:$A$2002,"&lt;="&amp;'Settings'!$B$6))</f>
        <v/>
      </c>
    </row>
    <row r="20">
      <c r="A20" s="9">
        <f>IF(INDEX('Settings'!$O$10:$O$39,2)="","",INDEX('Settings'!$O$10:$O$39,2))</f>
        <v/>
      </c>
      <c r="B20" s="20">
        <f>IF($A20="","",SUMIFS('Transactions'!$N$3:$N$2002,'Transactions'!$G$3:$G$2002,$A20,'Transactions'!$P$3:$P$2002,B$18))</f>
        <v/>
      </c>
      <c r="C20" s="20">
        <f>IF($A20="","",SUMIFS('Transactions'!$N$3:$N$2002,'Transactions'!$G$3:$G$2002,$A20,'Transactions'!$P$3:$P$2002,C$18))</f>
        <v/>
      </c>
      <c r="D20" s="20">
        <f>IF($A20="","",SUMIFS('Transactions'!$N$3:$N$2002,'Transactions'!$G$3:$G$2002,$A20,'Transactions'!$P$3:$P$2002,D$18))</f>
        <v/>
      </c>
      <c r="E20" s="20">
        <f>IF($A20="","",SUMIFS('Transactions'!$N$3:$N$2002,'Transactions'!$G$3:$G$2002,$A20,'Transactions'!$P$3:$P$2002,E$18))</f>
        <v/>
      </c>
      <c r="F20" s="20">
        <f>IF($A20="","",SUMIFS('Transactions'!$N$3:$N$2002,'Transactions'!$G$3:$G$2002,$A20,'Transactions'!$P$3:$P$2002,F$18))</f>
        <v/>
      </c>
      <c r="G20" s="20">
        <f>IF($A20="","",SUMIFS('Transactions'!$N$3:$N$2002,'Transactions'!$G$3:$G$2002,$A20,'Transactions'!$P$3:$P$2002,G$18))</f>
        <v/>
      </c>
      <c r="H20" s="20">
        <f>IF($A20="","",SUMIFS('Transactions'!$N$3:$N$2002,'Transactions'!$G$3:$G$2002,$A20,'Transactions'!$A$3:$A$2002,"&gt;="&amp;'Settings'!$B$5,'Transactions'!$A$3:$A$2002,"&lt;="&amp;'Settings'!$B$6))</f>
        <v/>
      </c>
    </row>
    <row r="21">
      <c r="A21" s="9">
        <f>IF(INDEX('Settings'!$O$10:$O$39,3)="","",INDEX('Settings'!$O$10:$O$39,3))</f>
        <v/>
      </c>
      <c r="B21" s="20">
        <f>IF($A21="","",SUMIFS('Transactions'!$N$3:$N$2002,'Transactions'!$G$3:$G$2002,$A21,'Transactions'!$P$3:$P$2002,B$18))</f>
        <v/>
      </c>
      <c r="C21" s="20">
        <f>IF($A21="","",SUMIFS('Transactions'!$N$3:$N$2002,'Transactions'!$G$3:$G$2002,$A21,'Transactions'!$P$3:$P$2002,C$18))</f>
        <v/>
      </c>
      <c r="D21" s="20">
        <f>IF($A21="","",SUMIFS('Transactions'!$N$3:$N$2002,'Transactions'!$G$3:$G$2002,$A21,'Transactions'!$P$3:$P$2002,D$18))</f>
        <v/>
      </c>
      <c r="E21" s="20">
        <f>IF($A21="","",SUMIFS('Transactions'!$N$3:$N$2002,'Transactions'!$G$3:$G$2002,$A21,'Transactions'!$P$3:$P$2002,E$18))</f>
        <v/>
      </c>
      <c r="F21" s="20">
        <f>IF($A21="","",SUMIFS('Transactions'!$N$3:$N$2002,'Transactions'!$G$3:$G$2002,$A21,'Transactions'!$P$3:$P$2002,F$18))</f>
        <v/>
      </c>
      <c r="G21" s="20">
        <f>IF($A21="","",SUMIFS('Transactions'!$N$3:$N$2002,'Transactions'!$G$3:$G$2002,$A21,'Transactions'!$P$3:$P$2002,G$18))</f>
        <v/>
      </c>
      <c r="H21" s="20">
        <f>IF($A21="","",SUMIFS('Transactions'!$N$3:$N$2002,'Transactions'!$G$3:$G$2002,$A21,'Transactions'!$A$3:$A$2002,"&gt;="&amp;'Settings'!$B$5,'Transactions'!$A$3:$A$2002,"&lt;="&amp;'Settings'!$B$6))</f>
        <v/>
      </c>
    </row>
    <row r="22">
      <c r="A22" s="9">
        <f>IF(INDEX('Settings'!$O$10:$O$39,4)="","",INDEX('Settings'!$O$10:$O$39,4))</f>
        <v/>
      </c>
      <c r="B22" s="20">
        <f>IF($A22="","",SUMIFS('Transactions'!$N$3:$N$2002,'Transactions'!$G$3:$G$2002,$A22,'Transactions'!$P$3:$P$2002,B$18))</f>
        <v/>
      </c>
      <c r="C22" s="20">
        <f>IF($A22="","",SUMIFS('Transactions'!$N$3:$N$2002,'Transactions'!$G$3:$G$2002,$A22,'Transactions'!$P$3:$P$2002,C$18))</f>
        <v/>
      </c>
      <c r="D22" s="20">
        <f>IF($A22="","",SUMIFS('Transactions'!$N$3:$N$2002,'Transactions'!$G$3:$G$2002,$A22,'Transactions'!$P$3:$P$2002,D$18))</f>
        <v/>
      </c>
      <c r="E22" s="20">
        <f>IF($A22="","",SUMIFS('Transactions'!$N$3:$N$2002,'Transactions'!$G$3:$G$2002,$A22,'Transactions'!$P$3:$P$2002,E$18))</f>
        <v/>
      </c>
      <c r="F22" s="20">
        <f>IF($A22="","",SUMIFS('Transactions'!$N$3:$N$2002,'Transactions'!$G$3:$G$2002,$A22,'Transactions'!$P$3:$P$2002,F$18))</f>
        <v/>
      </c>
      <c r="G22" s="20">
        <f>IF($A22="","",SUMIFS('Transactions'!$N$3:$N$2002,'Transactions'!$G$3:$G$2002,$A22,'Transactions'!$P$3:$P$2002,G$18))</f>
        <v/>
      </c>
      <c r="H22" s="20">
        <f>IF($A22="","",SUMIFS('Transactions'!$N$3:$N$2002,'Transactions'!$G$3:$G$2002,$A22,'Transactions'!$A$3:$A$2002,"&gt;="&amp;'Settings'!$B$5,'Transactions'!$A$3:$A$2002,"&lt;="&amp;'Settings'!$B$6))</f>
        <v/>
      </c>
    </row>
    <row r="23">
      <c r="A23" s="9">
        <f>IF(INDEX('Settings'!$O$10:$O$39,5)="","",INDEX('Settings'!$O$10:$O$39,5))</f>
        <v/>
      </c>
      <c r="B23" s="20">
        <f>IF($A23="","",SUMIFS('Transactions'!$N$3:$N$2002,'Transactions'!$G$3:$G$2002,$A23,'Transactions'!$P$3:$P$2002,B$18))</f>
        <v/>
      </c>
      <c r="C23" s="20">
        <f>IF($A23="","",SUMIFS('Transactions'!$N$3:$N$2002,'Transactions'!$G$3:$G$2002,$A23,'Transactions'!$P$3:$P$2002,C$18))</f>
        <v/>
      </c>
      <c r="D23" s="20">
        <f>IF($A23="","",SUMIFS('Transactions'!$N$3:$N$2002,'Transactions'!$G$3:$G$2002,$A23,'Transactions'!$P$3:$P$2002,D$18))</f>
        <v/>
      </c>
      <c r="E23" s="20">
        <f>IF($A23="","",SUMIFS('Transactions'!$N$3:$N$2002,'Transactions'!$G$3:$G$2002,$A23,'Transactions'!$P$3:$P$2002,E$18))</f>
        <v/>
      </c>
      <c r="F23" s="20">
        <f>IF($A23="","",SUMIFS('Transactions'!$N$3:$N$2002,'Transactions'!$G$3:$G$2002,$A23,'Transactions'!$P$3:$P$2002,F$18))</f>
        <v/>
      </c>
      <c r="G23" s="20">
        <f>IF($A23="","",SUMIFS('Transactions'!$N$3:$N$2002,'Transactions'!$G$3:$G$2002,$A23,'Transactions'!$P$3:$P$2002,G$18))</f>
        <v/>
      </c>
      <c r="H23" s="20">
        <f>IF($A23="","",SUMIFS('Transactions'!$N$3:$N$2002,'Transactions'!$G$3:$G$2002,$A23,'Transactions'!$A$3:$A$2002,"&gt;="&amp;'Settings'!$B$5,'Transactions'!$A$3:$A$2002,"&lt;="&amp;'Settings'!$B$6))</f>
        <v/>
      </c>
    </row>
    <row r="24">
      <c r="A24" s="9">
        <f>IF(INDEX('Settings'!$O$10:$O$39,6)="","",INDEX('Settings'!$O$10:$O$39,6))</f>
        <v/>
      </c>
      <c r="B24" s="20">
        <f>IF($A24="","",SUMIFS('Transactions'!$N$3:$N$2002,'Transactions'!$G$3:$G$2002,$A24,'Transactions'!$P$3:$P$2002,B$18))</f>
        <v/>
      </c>
      <c r="C24" s="20">
        <f>IF($A24="","",SUMIFS('Transactions'!$N$3:$N$2002,'Transactions'!$G$3:$G$2002,$A24,'Transactions'!$P$3:$P$2002,C$18))</f>
        <v/>
      </c>
      <c r="D24" s="20">
        <f>IF($A24="","",SUMIFS('Transactions'!$N$3:$N$2002,'Transactions'!$G$3:$G$2002,$A24,'Transactions'!$P$3:$P$2002,D$18))</f>
        <v/>
      </c>
      <c r="E24" s="20">
        <f>IF($A24="","",SUMIFS('Transactions'!$N$3:$N$2002,'Transactions'!$G$3:$G$2002,$A24,'Transactions'!$P$3:$P$2002,E$18))</f>
        <v/>
      </c>
      <c r="F24" s="20">
        <f>IF($A24="","",SUMIFS('Transactions'!$N$3:$N$2002,'Transactions'!$G$3:$G$2002,$A24,'Transactions'!$P$3:$P$2002,F$18))</f>
        <v/>
      </c>
      <c r="G24" s="20">
        <f>IF($A24="","",SUMIFS('Transactions'!$N$3:$N$2002,'Transactions'!$G$3:$G$2002,$A24,'Transactions'!$P$3:$P$2002,G$18))</f>
        <v/>
      </c>
      <c r="H24" s="20">
        <f>IF($A24="","",SUMIFS('Transactions'!$N$3:$N$2002,'Transactions'!$G$3:$G$2002,$A24,'Transactions'!$A$3:$A$2002,"&gt;="&amp;'Settings'!$B$5,'Transactions'!$A$3:$A$2002,"&lt;="&amp;'Settings'!$B$6))</f>
        <v/>
      </c>
    </row>
    <row r="25">
      <c r="A25" s="9">
        <f>IF(INDEX('Settings'!$O$10:$O$39,7)="","",INDEX('Settings'!$O$10:$O$39,7))</f>
        <v/>
      </c>
      <c r="B25" s="20">
        <f>IF($A25="","",SUMIFS('Transactions'!$N$3:$N$2002,'Transactions'!$G$3:$G$2002,$A25,'Transactions'!$P$3:$P$2002,B$18))</f>
        <v/>
      </c>
      <c r="C25" s="20">
        <f>IF($A25="","",SUMIFS('Transactions'!$N$3:$N$2002,'Transactions'!$G$3:$G$2002,$A25,'Transactions'!$P$3:$P$2002,C$18))</f>
        <v/>
      </c>
      <c r="D25" s="20">
        <f>IF($A25="","",SUMIFS('Transactions'!$N$3:$N$2002,'Transactions'!$G$3:$G$2002,$A25,'Transactions'!$P$3:$P$2002,D$18))</f>
        <v/>
      </c>
      <c r="E25" s="20">
        <f>IF($A25="","",SUMIFS('Transactions'!$N$3:$N$2002,'Transactions'!$G$3:$G$2002,$A25,'Transactions'!$P$3:$P$2002,E$18))</f>
        <v/>
      </c>
      <c r="F25" s="20">
        <f>IF($A25="","",SUMIFS('Transactions'!$N$3:$N$2002,'Transactions'!$G$3:$G$2002,$A25,'Transactions'!$P$3:$P$2002,F$18))</f>
        <v/>
      </c>
      <c r="G25" s="20">
        <f>IF($A25="","",SUMIFS('Transactions'!$N$3:$N$2002,'Transactions'!$G$3:$G$2002,$A25,'Transactions'!$P$3:$P$2002,G$18))</f>
        <v/>
      </c>
      <c r="H25" s="20">
        <f>IF($A25="","",SUMIFS('Transactions'!$N$3:$N$2002,'Transactions'!$G$3:$G$2002,$A25,'Transactions'!$A$3:$A$2002,"&gt;="&amp;'Settings'!$B$5,'Transactions'!$A$3:$A$2002,"&lt;="&amp;'Settings'!$B$6))</f>
        <v/>
      </c>
    </row>
    <row r="26">
      <c r="A26" s="9">
        <f>IF(INDEX('Settings'!$O$10:$O$39,8)="","",INDEX('Settings'!$O$10:$O$39,8))</f>
        <v/>
      </c>
      <c r="B26" s="20">
        <f>IF($A26="","",SUMIFS('Transactions'!$N$3:$N$2002,'Transactions'!$G$3:$G$2002,$A26,'Transactions'!$P$3:$P$2002,B$18))</f>
        <v/>
      </c>
      <c r="C26" s="20">
        <f>IF($A26="","",SUMIFS('Transactions'!$N$3:$N$2002,'Transactions'!$G$3:$G$2002,$A26,'Transactions'!$P$3:$P$2002,C$18))</f>
        <v/>
      </c>
      <c r="D26" s="20">
        <f>IF($A26="","",SUMIFS('Transactions'!$N$3:$N$2002,'Transactions'!$G$3:$G$2002,$A26,'Transactions'!$P$3:$P$2002,D$18))</f>
        <v/>
      </c>
      <c r="E26" s="20">
        <f>IF($A26="","",SUMIFS('Transactions'!$N$3:$N$2002,'Transactions'!$G$3:$G$2002,$A26,'Transactions'!$P$3:$P$2002,E$18))</f>
        <v/>
      </c>
      <c r="F26" s="20">
        <f>IF($A26="","",SUMIFS('Transactions'!$N$3:$N$2002,'Transactions'!$G$3:$G$2002,$A26,'Transactions'!$P$3:$P$2002,F$18))</f>
        <v/>
      </c>
      <c r="G26" s="20">
        <f>IF($A26="","",SUMIFS('Transactions'!$N$3:$N$2002,'Transactions'!$G$3:$G$2002,$A26,'Transactions'!$P$3:$P$2002,G$18))</f>
        <v/>
      </c>
      <c r="H26" s="20">
        <f>IF($A26="","",SUMIFS('Transactions'!$N$3:$N$2002,'Transactions'!$G$3:$G$2002,$A26,'Transactions'!$A$3:$A$2002,"&gt;="&amp;'Settings'!$B$5,'Transactions'!$A$3:$A$2002,"&lt;="&amp;'Settings'!$B$6))</f>
        <v/>
      </c>
    </row>
    <row r="28">
      <c r="A28" s="2" t="inlineStr">
        <is>
          <t>The month columns start at the month the period starts. The Period column covers from start to end.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paperSize="9" fitToHeight="0" fitToWidth="1"/>
</worksheet>
</file>

<file path=xl/worksheets/sheet8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H33"/>
  <sheetViews>
    <sheetView showGridLines="0" rightToLeft="0" tabSelected="0" zoomScale="90"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3" customWidth="1" min="4" max="4"/>
    <col width="24" customWidth="1" min="5" max="5"/>
    <col width="13" customWidth="1" min="6" max="6"/>
    <col width="12" customWidth="1" min="7" max="7"/>
  </cols>
  <sheetData>
    <row r="1">
      <c r="A1" s="18">
        <f>'Settings'!B3</f>
        <v/>
      </c>
    </row>
    <row r="2">
      <c r="A2" s="19" t="inlineStr">
        <is>
          <t>Revenue dashboard</t>
        </is>
      </c>
    </row>
    <row r="3">
      <c r="A3" s="2">
        <f>"Period: "&amp;TEXT('Settings'!$B$5,"yyyy-mm-dd")&amp;" → "&amp;TEXT('Settings'!$B$6,"yyyy-mm-dd")</f>
        <v/>
      </c>
    </row>
    <row r="4">
      <c r="A4" s="11" t="inlineStr">
        <is>
          <t>Medicolize fills these numbers in automatically. Book a demo →</t>
        </is>
      </c>
    </row>
    <row r="6" ht="32" customHeight="1">
      <c r="A6" s="7" t="inlineStr">
        <is>
          <t>Week of</t>
        </is>
      </c>
      <c r="B6" s="7" t="inlineStr">
        <is>
          <t>Net revenue</t>
        </is>
      </c>
      <c r="C6" s="7" t="inlineStr">
        <is>
          <t>Discount rate</t>
        </is>
      </c>
      <c r="E6" s="7" t="inlineStr">
        <is>
          <t>Top 10 services</t>
        </is>
      </c>
      <c r="F6" s="7" t="inlineStr">
        <is>
          <t>Net revenue</t>
        </is>
      </c>
    </row>
    <row r="7">
      <c r="A7" s="26">
        <f>'Settings'!$B$5-WEEKDAY('Settings'!$B$5,2)+1+0</f>
        <v/>
      </c>
      <c r="B7" s="20">
        <f>SUMIFS('Transactions'!$N$3:$N$2002,'Transactions'!$R$3:$R$2002,$A7,'Transactions'!$A$3:$A$2002,"&gt;="&amp;'Settings'!$B$5,'Transactions'!$A$3:$A$2002,"&lt;="&amp;'Settings'!$B$6)</f>
        <v/>
      </c>
      <c r="C7" s="23">
        <f>IFERROR(SUMIFS('Transactions'!$L$3:$L$2002,'Transactions'!$R$3:$R$2002,$A7,'Transactions'!$A$3:$A$2002,"&gt;="&amp;'Settings'!$B$5,'Transactions'!$A$3:$A$2002,"&lt;="&amp;'Settings'!$B$6)/SUMIFS('Transactions'!$M$3:$M$2002,'Transactions'!$R$3:$R$2002,$A7,'Transactions'!$A$3:$A$2002,"&gt;="&amp;'Settings'!$B$5,'Transactions'!$A$3:$A$2002,"&lt;="&amp;'Settings'!$B$6),0)</f>
        <v/>
      </c>
      <c r="E7" s="9">
        <f>IF(LARGE('By service'!$H$6:$H$35,1)=0,"",INDEX('By service'!$A$6:$A$35,MATCH(LARGE('By service'!$H$6:$H$35,1),'By service'!$H$6:$H$35,0)))</f>
        <v/>
      </c>
      <c r="F7" s="20">
        <f>IF(E7="","",INDEX('By service'!$D$6:$D$35,MATCH(LARGE('By service'!$H$6:$H$35,1),'By service'!$H$6:$H$35,0)))</f>
        <v/>
      </c>
    </row>
    <row r="8">
      <c r="A8" s="26">
        <f>'Settings'!$B$5-WEEKDAY('Settings'!$B$5,2)+1+7</f>
        <v/>
      </c>
      <c r="B8" s="20">
        <f>SUMIFS('Transactions'!$N$3:$N$2002,'Transactions'!$R$3:$R$2002,$A8,'Transactions'!$A$3:$A$2002,"&gt;="&amp;'Settings'!$B$5,'Transactions'!$A$3:$A$2002,"&lt;="&amp;'Settings'!$B$6)</f>
        <v/>
      </c>
      <c r="C8" s="23">
        <f>IFERROR(SUMIFS('Transactions'!$L$3:$L$2002,'Transactions'!$R$3:$R$2002,$A8,'Transactions'!$A$3:$A$2002,"&gt;="&amp;'Settings'!$B$5,'Transactions'!$A$3:$A$2002,"&lt;="&amp;'Settings'!$B$6)/SUMIFS('Transactions'!$M$3:$M$2002,'Transactions'!$R$3:$R$2002,$A8,'Transactions'!$A$3:$A$2002,"&gt;="&amp;'Settings'!$B$5,'Transactions'!$A$3:$A$2002,"&lt;="&amp;'Settings'!$B$6),0)</f>
        <v/>
      </c>
      <c r="E8" s="9">
        <f>IF(LARGE('By service'!$H$6:$H$35,2)=0,"",INDEX('By service'!$A$6:$A$35,MATCH(LARGE('By service'!$H$6:$H$35,2),'By service'!$H$6:$H$35,0)))</f>
        <v/>
      </c>
      <c r="F8" s="20">
        <f>IF(E8="","",INDEX('By service'!$D$6:$D$35,MATCH(LARGE('By service'!$H$6:$H$35,2),'By service'!$H$6:$H$35,0)))</f>
        <v/>
      </c>
    </row>
    <row r="9">
      <c r="A9" s="26">
        <f>'Settings'!$B$5-WEEKDAY('Settings'!$B$5,2)+1+14</f>
        <v/>
      </c>
      <c r="B9" s="20">
        <f>SUMIFS('Transactions'!$N$3:$N$2002,'Transactions'!$R$3:$R$2002,$A9,'Transactions'!$A$3:$A$2002,"&gt;="&amp;'Settings'!$B$5,'Transactions'!$A$3:$A$2002,"&lt;="&amp;'Settings'!$B$6)</f>
        <v/>
      </c>
      <c r="C9" s="23">
        <f>IFERROR(SUMIFS('Transactions'!$L$3:$L$2002,'Transactions'!$R$3:$R$2002,$A9,'Transactions'!$A$3:$A$2002,"&gt;="&amp;'Settings'!$B$5,'Transactions'!$A$3:$A$2002,"&lt;="&amp;'Settings'!$B$6)/SUMIFS('Transactions'!$M$3:$M$2002,'Transactions'!$R$3:$R$2002,$A9,'Transactions'!$A$3:$A$2002,"&gt;="&amp;'Settings'!$B$5,'Transactions'!$A$3:$A$2002,"&lt;="&amp;'Settings'!$B$6),0)</f>
        <v/>
      </c>
      <c r="E9" s="9">
        <f>IF(LARGE('By service'!$H$6:$H$35,3)=0,"",INDEX('By service'!$A$6:$A$35,MATCH(LARGE('By service'!$H$6:$H$35,3),'By service'!$H$6:$H$35,0)))</f>
        <v/>
      </c>
      <c r="F9" s="20">
        <f>IF(E9="","",INDEX('By service'!$D$6:$D$35,MATCH(LARGE('By service'!$H$6:$H$35,3),'By service'!$H$6:$H$35,0)))</f>
        <v/>
      </c>
    </row>
    <row r="10">
      <c r="A10" s="26">
        <f>'Settings'!$B$5-WEEKDAY('Settings'!$B$5,2)+1+21</f>
        <v/>
      </c>
      <c r="B10" s="20">
        <f>SUMIFS('Transactions'!$N$3:$N$2002,'Transactions'!$R$3:$R$2002,$A10,'Transactions'!$A$3:$A$2002,"&gt;="&amp;'Settings'!$B$5,'Transactions'!$A$3:$A$2002,"&lt;="&amp;'Settings'!$B$6)</f>
        <v/>
      </c>
      <c r="C10" s="23">
        <f>IFERROR(SUMIFS('Transactions'!$L$3:$L$2002,'Transactions'!$R$3:$R$2002,$A10,'Transactions'!$A$3:$A$2002,"&gt;="&amp;'Settings'!$B$5,'Transactions'!$A$3:$A$2002,"&lt;="&amp;'Settings'!$B$6)/SUMIFS('Transactions'!$M$3:$M$2002,'Transactions'!$R$3:$R$2002,$A10,'Transactions'!$A$3:$A$2002,"&gt;="&amp;'Settings'!$B$5,'Transactions'!$A$3:$A$2002,"&lt;="&amp;'Settings'!$B$6),0)</f>
        <v/>
      </c>
      <c r="E10" s="9">
        <f>IF(LARGE('By service'!$H$6:$H$35,4)=0,"",INDEX('By service'!$A$6:$A$35,MATCH(LARGE('By service'!$H$6:$H$35,4),'By service'!$H$6:$H$35,0)))</f>
        <v/>
      </c>
      <c r="F10" s="20">
        <f>IF(E10="","",INDEX('By service'!$D$6:$D$35,MATCH(LARGE('By service'!$H$6:$H$35,4),'By service'!$H$6:$H$35,0)))</f>
        <v/>
      </c>
    </row>
    <row r="11">
      <c r="A11" s="26">
        <f>'Settings'!$B$5-WEEKDAY('Settings'!$B$5,2)+1+28</f>
        <v/>
      </c>
      <c r="B11" s="20">
        <f>SUMIFS('Transactions'!$N$3:$N$2002,'Transactions'!$R$3:$R$2002,$A11,'Transactions'!$A$3:$A$2002,"&gt;="&amp;'Settings'!$B$5,'Transactions'!$A$3:$A$2002,"&lt;="&amp;'Settings'!$B$6)</f>
        <v/>
      </c>
      <c r="C11" s="23">
        <f>IFERROR(SUMIFS('Transactions'!$L$3:$L$2002,'Transactions'!$R$3:$R$2002,$A11,'Transactions'!$A$3:$A$2002,"&gt;="&amp;'Settings'!$B$5,'Transactions'!$A$3:$A$2002,"&lt;="&amp;'Settings'!$B$6)/SUMIFS('Transactions'!$M$3:$M$2002,'Transactions'!$R$3:$R$2002,$A11,'Transactions'!$A$3:$A$2002,"&gt;="&amp;'Settings'!$B$5,'Transactions'!$A$3:$A$2002,"&lt;="&amp;'Settings'!$B$6),0)</f>
        <v/>
      </c>
      <c r="E11" s="9">
        <f>IF(LARGE('By service'!$H$6:$H$35,5)=0,"",INDEX('By service'!$A$6:$A$35,MATCH(LARGE('By service'!$H$6:$H$35,5),'By service'!$H$6:$H$35,0)))</f>
        <v/>
      </c>
      <c r="F11" s="20">
        <f>IF(E11="","",INDEX('By service'!$D$6:$D$35,MATCH(LARGE('By service'!$H$6:$H$35,5),'By service'!$H$6:$H$35,0)))</f>
        <v/>
      </c>
    </row>
    <row r="12">
      <c r="A12" s="26">
        <f>'Settings'!$B$5-WEEKDAY('Settings'!$B$5,2)+1+35</f>
        <v/>
      </c>
      <c r="B12" s="20">
        <f>SUMIFS('Transactions'!$N$3:$N$2002,'Transactions'!$R$3:$R$2002,$A12,'Transactions'!$A$3:$A$2002,"&gt;="&amp;'Settings'!$B$5,'Transactions'!$A$3:$A$2002,"&lt;="&amp;'Settings'!$B$6)</f>
        <v/>
      </c>
      <c r="C12" s="23">
        <f>IFERROR(SUMIFS('Transactions'!$L$3:$L$2002,'Transactions'!$R$3:$R$2002,$A12,'Transactions'!$A$3:$A$2002,"&gt;="&amp;'Settings'!$B$5,'Transactions'!$A$3:$A$2002,"&lt;="&amp;'Settings'!$B$6)/SUMIFS('Transactions'!$M$3:$M$2002,'Transactions'!$R$3:$R$2002,$A12,'Transactions'!$A$3:$A$2002,"&gt;="&amp;'Settings'!$B$5,'Transactions'!$A$3:$A$2002,"&lt;="&amp;'Settings'!$B$6),0)</f>
        <v/>
      </c>
      <c r="E12" s="9">
        <f>IF(LARGE('By service'!$H$6:$H$35,6)=0,"",INDEX('By service'!$A$6:$A$35,MATCH(LARGE('By service'!$H$6:$H$35,6),'By service'!$H$6:$H$35,0)))</f>
        <v/>
      </c>
      <c r="F12" s="20">
        <f>IF(E12="","",INDEX('By service'!$D$6:$D$35,MATCH(LARGE('By service'!$H$6:$H$35,6),'By service'!$H$6:$H$35,0)))</f>
        <v/>
      </c>
    </row>
    <row r="13">
      <c r="A13" s="26">
        <f>'Settings'!$B$5-WEEKDAY('Settings'!$B$5,2)+1+42</f>
        <v/>
      </c>
      <c r="B13" s="20">
        <f>SUMIFS('Transactions'!$N$3:$N$2002,'Transactions'!$R$3:$R$2002,$A13,'Transactions'!$A$3:$A$2002,"&gt;="&amp;'Settings'!$B$5,'Transactions'!$A$3:$A$2002,"&lt;="&amp;'Settings'!$B$6)</f>
        <v/>
      </c>
      <c r="C13" s="23">
        <f>IFERROR(SUMIFS('Transactions'!$L$3:$L$2002,'Transactions'!$R$3:$R$2002,$A13,'Transactions'!$A$3:$A$2002,"&gt;="&amp;'Settings'!$B$5,'Transactions'!$A$3:$A$2002,"&lt;="&amp;'Settings'!$B$6)/SUMIFS('Transactions'!$M$3:$M$2002,'Transactions'!$R$3:$R$2002,$A13,'Transactions'!$A$3:$A$2002,"&gt;="&amp;'Settings'!$B$5,'Transactions'!$A$3:$A$2002,"&lt;="&amp;'Settings'!$B$6),0)</f>
        <v/>
      </c>
      <c r="E13" s="9">
        <f>IF(LARGE('By service'!$H$6:$H$35,7)=0,"",INDEX('By service'!$A$6:$A$35,MATCH(LARGE('By service'!$H$6:$H$35,7),'By service'!$H$6:$H$35,0)))</f>
        <v/>
      </c>
      <c r="F13" s="20">
        <f>IF(E13="","",INDEX('By service'!$D$6:$D$35,MATCH(LARGE('By service'!$H$6:$H$35,7),'By service'!$H$6:$H$35,0)))</f>
        <v/>
      </c>
    </row>
    <row r="14">
      <c r="A14" s="26">
        <f>'Settings'!$B$5-WEEKDAY('Settings'!$B$5,2)+1+49</f>
        <v/>
      </c>
      <c r="B14" s="20">
        <f>SUMIFS('Transactions'!$N$3:$N$2002,'Transactions'!$R$3:$R$2002,$A14,'Transactions'!$A$3:$A$2002,"&gt;="&amp;'Settings'!$B$5,'Transactions'!$A$3:$A$2002,"&lt;="&amp;'Settings'!$B$6)</f>
        <v/>
      </c>
      <c r="C14" s="23">
        <f>IFERROR(SUMIFS('Transactions'!$L$3:$L$2002,'Transactions'!$R$3:$R$2002,$A14,'Transactions'!$A$3:$A$2002,"&gt;="&amp;'Settings'!$B$5,'Transactions'!$A$3:$A$2002,"&lt;="&amp;'Settings'!$B$6)/SUMIFS('Transactions'!$M$3:$M$2002,'Transactions'!$R$3:$R$2002,$A14,'Transactions'!$A$3:$A$2002,"&gt;="&amp;'Settings'!$B$5,'Transactions'!$A$3:$A$2002,"&lt;="&amp;'Settings'!$B$6),0)</f>
        <v/>
      </c>
      <c r="E14" s="9">
        <f>IF(LARGE('By service'!$H$6:$H$35,8)=0,"",INDEX('By service'!$A$6:$A$35,MATCH(LARGE('By service'!$H$6:$H$35,8),'By service'!$H$6:$H$35,0)))</f>
        <v/>
      </c>
      <c r="F14" s="20">
        <f>IF(E14="","",INDEX('By service'!$D$6:$D$35,MATCH(LARGE('By service'!$H$6:$H$35,8),'By service'!$H$6:$H$35,0)))</f>
        <v/>
      </c>
    </row>
    <row r="15">
      <c r="A15" s="26">
        <f>'Settings'!$B$5-WEEKDAY('Settings'!$B$5,2)+1+56</f>
        <v/>
      </c>
      <c r="B15" s="20">
        <f>SUMIFS('Transactions'!$N$3:$N$2002,'Transactions'!$R$3:$R$2002,$A15,'Transactions'!$A$3:$A$2002,"&gt;="&amp;'Settings'!$B$5,'Transactions'!$A$3:$A$2002,"&lt;="&amp;'Settings'!$B$6)</f>
        <v/>
      </c>
      <c r="C15" s="23">
        <f>IFERROR(SUMIFS('Transactions'!$L$3:$L$2002,'Transactions'!$R$3:$R$2002,$A15,'Transactions'!$A$3:$A$2002,"&gt;="&amp;'Settings'!$B$5,'Transactions'!$A$3:$A$2002,"&lt;="&amp;'Settings'!$B$6)/SUMIFS('Transactions'!$M$3:$M$2002,'Transactions'!$R$3:$R$2002,$A15,'Transactions'!$A$3:$A$2002,"&gt;="&amp;'Settings'!$B$5,'Transactions'!$A$3:$A$2002,"&lt;="&amp;'Settings'!$B$6),0)</f>
        <v/>
      </c>
      <c r="E15" s="9">
        <f>IF(LARGE('By service'!$H$6:$H$35,9)=0,"",INDEX('By service'!$A$6:$A$35,MATCH(LARGE('By service'!$H$6:$H$35,9),'By service'!$H$6:$H$35,0)))</f>
        <v/>
      </c>
      <c r="F15" s="20">
        <f>IF(E15="","",INDEX('By service'!$D$6:$D$35,MATCH(LARGE('By service'!$H$6:$H$35,9),'By service'!$H$6:$H$35,0)))</f>
        <v/>
      </c>
    </row>
    <row r="16">
      <c r="A16" s="26">
        <f>'Settings'!$B$5-WEEKDAY('Settings'!$B$5,2)+1+63</f>
        <v/>
      </c>
      <c r="B16" s="20">
        <f>SUMIFS('Transactions'!$N$3:$N$2002,'Transactions'!$R$3:$R$2002,$A16,'Transactions'!$A$3:$A$2002,"&gt;="&amp;'Settings'!$B$5,'Transactions'!$A$3:$A$2002,"&lt;="&amp;'Settings'!$B$6)</f>
        <v/>
      </c>
      <c r="C16" s="23">
        <f>IFERROR(SUMIFS('Transactions'!$L$3:$L$2002,'Transactions'!$R$3:$R$2002,$A16,'Transactions'!$A$3:$A$2002,"&gt;="&amp;'Settings'!$B$5,'Transactions'!$A$3:$A$2002,"&lt;="&amp;'Settings'!$B$6)/SUMIFS('Transactions'!$M$3:$M$2002,'Transactions'!$R$3:$R$2002,$A16,'Transactions'!$A$3:$A$2002,"&gt;="&amp;'Settings'!$B$5,'Transactions'!$A$3:$A$2002,"&lt;="&amp;'Settings'!$B$6),0)</f>
        <v/>
      </c>
      <c r="E16" s="9">
        <f>IF(LARGE('By service'!$H$6:$H$35,10)=0,"",INDEX('By service'!$A$6:$A$35,MATCH(LARGE('By service'!$H$6:$H$35,10),'By service'!$H$6:$H$35,0)))</f>
        <v/>
      </c>
      <c r="F16" s="20">
        <f>IF(E16="","",INDEX('By service'!$D$6:$D$35,MATCH(LARGE('By service'!$H$6:$H$35,10),'By service'!$H$6:$H$35,0)))</f>
        <v/>
      </c>
    </row>
    <row r="17">
      <c r="A17" s="26">
        <f>'Settings'!$B$5-WEEKDAY('Settings'!$B$5,2)+1+70</f>
        <v/>
      </c>
      <c r="B17" s="20">
        <f>SUMIFS('Transactions'!$N$3:$N$2002,'Transactions'!$R$3:$R$2002,$A17,'Transactions'!$A$3:$A$2002,"&gt;="&amp;'Settings'!$B$5,'Transactions'!$A$3:$A$2002,"&lt;="&amp;'Settings'!$B$6)</f>
        <v/>
      </c>
      <c r="C17" s="23">
        <f>IFERROR(SUMIFS('Transactions'!$L$3:$L$2002,'Transactions'!$R$3:$R$2002,$A17,'Transactions'!$A$3:$A$2002,"&gt;="&amp;'Settings'!$B$5,'Transactions'!$A$3:$A$2002,"&lt;="&amp;'Settings'!$B$6)/SUMIFS('Transactions'!$M$3:$M$2002,'Transactions'!$R$3:$R$2002,$A17,'Transactions'!$A$3:$A$2002,"&gt;="&amp;'Settings'!$B$5,'Transactions'!$A$3:$A$2002,"&lt;="&amp;'Settings'!$B$6),0)</f>
        <v/>
      </c>
    </row>
    <row r="18">
      <c r="A18" s="26">
        <f>'Settings'!$B$5-WEEKDAY('Settings'!$B$5,2)+1+77</f>
        <v/>
      </c>
      <c r="B18" s="20">
        <f>SUMIFS('Transactions'!$N$3:$N$2002,'Transactions'!$R$3:$R$2002,$A18,'Transactions'!$A$3:$A$2002,"&gt;="&amp;'Settings'!$B$5,'Transactions'!$A$3:$A$2002,"&lt;="&amp;'Settings'!$B$6)</f>
        <v/>
      </c>
      <c r="C18" s="23">
        <f>IFERROR(SUMIFS('Transactions'!$L$3:$L$2002,'Transactions'!$R$3:$R$2002,$A18,'Transactions'!$A$3:$A$2002,"&gt;="&amp;'Settings'!$B$5,'Transactions'!$A$3:$A$2002,"&lt;="&amp;'Settings'!$B$6)/SUMIFS('Transactions'!$M$3:$M$2002,'Transactions'!$R$3:$R$2002,$A18,'Transactions'!$A$3:$A$2002,"&gt;="&amp;'Settings'!$B$5,'Transactions'!$A$3:$A$2002,"&lt;="&amp;'Settings'!$B$6),0)</f>
        <v/>
      </c>
    </row>
    <row r="19">
      <c r="A19" s="26">
        <f>'Settings'!$B$5-WEEKDAY('Settings'!$B$5,2)+1+84</f>
        <v/>
      </c>
      <c r="B19" s="20">
        <f>SUMIFS('Transactions'!$N$3:$N$2002,'Transactions'!$R$3:$R$2002,$A19,'Transactions'!$A$3:$A$2002,"&gt;="&amp;'Settings'!$B$5,'Transactions'!$A$3:$A$2002,"&lt;="&amp;'Settings'!$B$6)</f>
        <v/>
      </c>
      <c r="C19" s="23">
        <f>IFERROR(SUMIFS('Transactions'!$L$3:$L$2002,'Transactions'!$R$3:$R$2002,$A19,'Transactions'!$A$3:$A$2002,"&gt;="&amp;'Settings'!$B$5,'Transactions'!$A$3:$A$2002,"&lt;="&amp;'Settings'!$B$6)/SUMIFS('Transactions'!$M$3:$M$2002,'Transactions'!$R$3:$R$2002,$A19,'Transactions'!$A$3:$A$2002,"&gt;="&amp;'Settings'!$B$5,'Transactions'!$A$3:$A$2002,"&lt;="&amp;'Settings'!$B$6),0)</f>
        <v/>
      </c>
    </row>
    <row r="20">
      <c r="A20" s="26">
        <f>'Settings'!$B$5-WEEKDAY('Settings'!$B$5,2)+1+91</f>
        <v/>
      </c>
      <c r="B20" s="20">
        <f>SUMIFS('Transactions'!$N$3:$N$2002,'Transactions'!$R$3:$R$2002,$A20,'Transactions'!$A$3:$A$2002,"&gt;="&amp;'Settings'!$B$5,'Transactions'!$A$3:$A$2002,"&lt;="&amp;'Settings'!$B$6)</f>
        <v/>
      </c>
      <c r="C20" s="23">
        <f>IFERROR(SUMIFS('Transactions'!$L$3:$L$2002,'Transactions'!$R$3:$R$2002,$A20,'Transactions'!$A$3:$A$2002,"&gt;="&amp;'Settings'!$B$5,'Transactions'!$A$3:$A$2002,"&lt;="&amp;'Settings'!$B$6)/SUMIFS('Transactions'!$M$3:$M$2002,'Transactions'!$R$3:$R$2002,$A20,'Transactions'!$A$3:$A$2002,"&gt;="&amp;'Settings'!$B$5,'Transactions'!$A$3:$A$2002,"&lt;="&amp;'Settings'!$B$6),0)</f>
        <v/>
      </c>
    </row>
    <row r="23" ht="32" customHeight="1">
      <c r="A23" s="7" t="inlineStr">
        <is>
          <t>Doctor</t>
        </is>
      </c>
      <c r="B23" s="7" t="inlineStr">
        <is>
          <t>Revenue per hour</t>
        </is>
      </c>
      <c r="E23" s="7" t="inlineStr">
        <is>
          <t>Month</t>
        </is>
      </c>
      <c r="F23" s="7" t="inlineStr">
        <is>
          <t>New</t>
        </is>
      </c>
      <c r="G23" s="7" t="inlineStr">
        <is>
          <t>Returning</t>
        </is>
      </c>
    </row>
    <row r="24">
      <c r="A24" s="9">
        <f>'By doctor'!A6</f>
        <v/>
      </c>
      <c r="B24" s="20">
        <f>'By doctor'!F6</f>
        <v/>
      </c>
      <c r="E24" s="15">
        <f>EDATE(DATE(YEAR('Settings'!$B$5),MONTH('Settings'!$B$5),1),0)</f>
        <v/>
      </c>
      <c r="F24" s="16">
        <f>COUNTIFS('Transactions'!$P$3:$P$2002,$E24,'Transactions'!$F$3:$F$2002,"New")</f>
        <v/>
      </c>
      <c r="G24" s="16">
        <f>COUNTIFS('Transactions'!$P$3:$P$2002,$E24,'Transactions'!$F$3:$F$2002,"Returning")</f>
        <v/>
      </c>
    </row>
    <row r="25">
      <c r="A25" s="9">
        <f>'By doctor'!A7</f>
        <v/>
      </c>
      <c r="B25" s="20">
        <f>'By doctor'!F7</f>
        <v/>
      </c>
      <c r="E25" s="15">
        <f>EDATE(DATE(YEAR('Settings'!$B$5),MONTH('Settings'!$B$5),1),1)</f>
        <v/>
      </c>
      <c r="F25" s="16">
        <f>COUNTIFS('Transactions'!$P$3:$P$2002,$E25,'Transactions'!$F$3:$F$2002,"New")</f>
        <v/>
      </c>
      <c r="G25" s="16">
        <f>COUNTIFS('Transactions'!$P$3:$P$2002,$E25,'Transactions'!$F$3:$F$2002,"Returning")</f>
        <v/>
      </c>
    </row>
    <row r="26">
      <c r="A26" s="9">
        <f>'By doctor'!A8</f>
        <v/>
      </c>
      <c r="B26" s="20">
        <f>'By doctor'!F8</f>
        <v/>
      </c>
      <c r="E26" s="15">
        <f>EDATE(DATE(YEAR('Settings'!$B$5),MONTH('Settings'!$B$5),1),2)</f>
        <v/>
      </c>
      <c r="F26" s="16">
        <f>COUNTIFS('Transactions'!$P$3:$P$2002,$E26,'Transactions'!$F$3:$F$2002,"New")</f>
        <v/>
      </c>
      <c r="G26" s="16">
        <f>COUNTIFS('Transactions'!$P$3:$P$2002,$E26,'Transactions'!$F$3:$F$2002,"Returning")</f>
        <v/>
      </c>
    </row>
    <row r="27">
      <c r="A27" s="9">
        <f>'By doctor'!A9</f>
        <v/>
      </c>
      <c r="B27" s="20">
        <f>'By doctor'!F9</f>
        <v/>
      </c>
    </row>
    <row r="28">
      <c r="A28" s="9">
        <f>'By doctor'!A10</f>
        <v/>
      </c>
      <c r="B28" s="20">
        <f>'By doctor'!F10</f>
        <v/>
      </c>
      <c r="E28" s="7" t="inlineStr">
        <is>
          <t>Source</t>
        </is>
      </c>
      <c r="F28" s="7" t="inlineStr">
        <is>
          <t>Revenue in period</t>
        </is>
      </c>
    </row>
    <row r="29">
      <c r="A29" s="9">
        <f>'By doctor'!A11</f>
        <v/>
      </c>
      <c r="B29" s="20">
        <f>'By doctor'!F11</f>
        <v/>
      </c>
      <c r="E29" s="9">
        <f>'By source'!A19</f>
        <v/>
      </c>
      <c r="F29" s="20">
        <f>'By source'!H19</f>
        <v/>
      </c>
    </row>
    <row r="30">
      <c r="E30" s="9">
        <f>'By source'!A20</f>
        <v/>
      </c>
      <c r="F30" s="20">
        <f>'By source'!H20</f>
        <v/>
      </c>
    </row>
    <row r="31">
      <c r="E31" s="9">
        <f>'By source'!A21</f>
        <v/>
      </c>
      <c r="F31" s="20">
        <f>'By source'!H21</f>
        <v/>
      </c>
    </row>
    <row r="32">
      <c r="E32" s="9">
        <f>'By source'!A22</f>
        <v/>
      </c>
      <c r="F32" s="20">
        <f>'By source'!H22</f>
        <v/>
      </c>
    </row>
    <row r="33">
      <c r="E33" s="9">
        <f>'By source'!A23</f>
        <v/>
      </c>
      <c r="F33" s="20">
        <f>'By source'!H23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:H4"/>
  </mergeCells>
  <hyperlinks>
    <hyperlink xmlns:r="http://schemas.openxmlformats.org/officeDocument/2006/relationships" ref="A4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revenue-analysis</dc:title>
  <dcterms:created xmlns:dcterms="http://purl.org/dc/terms/" xmlns:xsi="http://www.w3.org/2001/XMLSchema-instance" xsi:type="dcterms:W3CDTF">2026-10-05T11:09:28Z</dcterms:created>
  <dcterms:modified xmlns:dcterms="http://purl.org/dc/terms/" xmlns:xsi="http://www.w3.org/2001/XMLSchema-instance" xsi:type="dcterms:W3CDTF">2026-10-05T11:09:29Z</dcterms:modified>
</cp:coreProperties>
</file>