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Items" sheetId="3" state="visible" r:id="rId3"/>
    <sheet xmlns:r="http://schemas.openxmlformats.org/officeDocument/2006/relationships" name="Batches" sheetId="4" state="visible" r:id="rId4"/>
    <sheet xmlns:r="http://schemas.openxmlformats.org/officeDocument/2006/relationships" name="Movements" sheetId="5" state="visible" r:id="rId5"/>
    <sheet xmlns:r="http://schemas.openxmlformats.org/officeDocument/2006/relationships" name="Balance" sheetId="6" state="visible" r:id="rId6"/>
    <sheet xmlns:r="http://schemas.openxmlformats.org/officeDocument/2006/relationships" name="Order list" sheetId="7" state="visible" r:id="rId7"/>
    <sheet xmlns:r="http://schemas.openxmlformats.org/officeDocument/2006/relationships" name="Expiry" sheetId="8" state="visible" r:id="rId8"/>
  </sheets>
  <definedNames>
    <definedName name="Branches">'Settings'!$A$12:$A$17</definedName>
    <definedName name="Categories">'Settings'!$B$12:$B$19</definedName>
    <definedName name="Suppliers">'Settings'!$C$12:$C$24</definedName>
    <definedName name="MoveTypes">'Settings'!$D$12:$D$15</definedName>
    <definedName name="Staff">'Settings'!$E$12:$E$26</definedName>
    <definedName name="_xlnm._FilterDatabase" localSheetId="2" hidden="1">'Items'!$A$2:$K$202</definedName>
    <definedName name="_xlnm._FilterDatabase" localSheetId="3" hidden="1">'Batches'!$A$2:$J$302</definedName>
    <definedName name="_xlnm._FilterDatabase" localSheetId="4" hidden="1">'Movements'!$A$2:$J$1002</definedName>
    <definedName name="_xlnm._FilterDatabase" localSheetId="5" hidden="1">'Balance'!$A$2:$M$202</definedName>
    <definedName name="_xlnm.Print_Area" localSheetId="6">'Order list'!$A$1:$I$72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#,##0.0#"/>
    <numFmt numFmtId="168" formatCode="#,##0.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3"/>
    </font>
    <font>
      <name val="Arial"/>
      <b val="1"/>
      <color rgb="005B2A6E"/>
      <sz val="10"/>
    </font>
    <font>
      <name val="Arial"/>
      <b val="1"/>
      <color rgb="005B2A6E"/>
      <sz val="14"/>
    </font>
    <font>
      <name val="Arial"/>
      <b val="1"/>
      <color rgb="002C1636"/>
      <sz val="12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7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  <border>
      <left/>
      <right/>
      <top style="thin">
        <color rgb="00D9D2DE"/>
      </top>
      <bottom/>
      <diagonal/>
    </border>
    <border>
      <left/>
      <right style="thin">
        <color rgb="00D9D2DE"/>
      </right>
      <top style="thin">
        <color rgb="00D9D2DE"/>
      </top>
      <bottom/>
      <diagonal/>
    </border>
    <border>
      <left/>
      <right/>
      <top style="thin">
        <color rgb="00D9D2DE"/>
      </top>
      <bottom style="thin">
        <color rgb="00D9D2DE"/>
      </bottom>
      <diagonal/>
    </border>
    <border>
      <left/>
      <right style="thin">
        <color rgb="00D9D2DE"/>
      </right>
      <top style="thin">
        <color rgb="00D9D2DE"/>
      </top>
      <bottom style="thin">
        <color rgb="00D9D2DE"/>
      </bottom>
      <diagonal/>
    </border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3" fontId="2" fillId="3" borderId="1" applyAlignment="1" applyProtection="1" pivotButton="0" quotePrefix="0" xfId="4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4" borderId="1" applyAlignment="1" pivotButton="0" quotePrefix="0" xfId="8">
      <alignment horizontal="left" vertical="center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167" fontId="2" fillId="3" borderId="1" applyAlignment="1" applyProtection="1" pivotButton="0" quotePrefix="0" xfId="3">
      <alignment horizontal="center" vertical="center" readingOrder="1"/>
      <protection locked="0" hidden="0"/>
    </xf>
    <xf numFmtId="168" fontId="2" fillId="4" borderId="1" applyAlignment="1" pivotButton="0" quotePrefix="0" xfId="9">
      <alignment horizontal="center" vertical="center" readingOrder="1"/>
    </xf>
    <xf numFmtId="3" fontId="2" fillId="4" borderId="1" applyAlignment="1" pivotButton="0" quotePrefix="0" xfId="10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164" fontId="2" fillId="4" borderId="1" applyAlignment="1" pivotButton="0" quotePrefix="0" xfId="12">
      <alignment horizontal="center" vertical="center" readingOrder="1"/>
    </xf>
    <xf numFmtId="4" fontId="2" fillId="4" borderId="1" applyAlignment="1" pivotButton="0" quotePrefix="0" xfId="9">
      <alignment horizontal="center" vertical="center" readingOrder="1"/>
    </xf>
    <xf numFmtId="4" fontId="3" fillId="4" borderId="1" applyAlignment="1" pivotButton="0" quotePrefix="0" xfId="9">
      <alignment horizontal="center" vertical="center" readingOrder="1"/>
    </xf>
    <xf numFmtId="3" fontId="3" fillId="4" borderId="1" applyAlignment="1" pivotButton="0" quotePrefix="0" xfId="10">
      <alignment horizontal="center" vertical="center" readingOrder="1"/>
    </xf>
    <xf numFmtId="0" fontId="8" fillId="0" borderId="2" applyAlignment="1" pivotButton="0" quotePrefix="0" xfId="14">
      <alignment horizontal="left" vertical="center" readingOrder="1"/>
    </xf>
    <xf numFmtId="0" fontId="9" fillId="0" borderId="2" applyAlignment="1" pivotButton="0" quotePrefix="0" xfId="14">
      <alignment horizontal="left" vertical="center" readingOrder="1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inventory-and-expiry-tracker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inventory-and-expiry-tracker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medicolize.com/demo/?utm_source=template&amp;utm_medium=download&amp;utm_content=inventory-and-expiry-tracker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E41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28" customWidth="1" min="3" max="3"/>
    <col width="14" customWidth="1" min="4" max="4"/>
    <col width="16" customWidth="1" min="5" max="5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Noor Medical Centre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Stock date</t>
        </is>
      </c>
      <c r="B6" s="5" t="n">
        <v>46293</v>
      </c>
    </row>
    <row r="7">
      <c r="A7" s="3" t="inlineStr">
        <is>
          <t>Expiring within (days)</t>
        </is>
      </c>
      <c r="B7" s="6" t="n">
        <v>60</v>
      </c>
    </row>
    <row r="8">
      <c r="A8" s="3" t="inlineStr">
        <is>
          <t>Red under (days)</t>
        </is>
      </c>
      <c r="B8" s="6" t="n">
        <v>30</v>
      </c>
    </row>
    <row r="9">
      <c r="A9" s="3" t="inlineStr">
        <is>
          <t>Amber under (days)</t>
        </is>
      </c>
      <c r="B9" s="6" t="n">
        <v>90</v>
      </c>
    </row>
    <row r="11">
      <c r="A11" s="7" t="inlineStr">
        <is>
          <t>Branches</t>
        </is>
      </c>
      <c r="B11" s="7" t="inlineStr">
        <is>
          <t>Categories</t>
        </is>
      </c>
      <c r="C11" s="7" t="inlineStr">
        <is>
          <t>Suppliers</t>
        </is>
      </c>
      <c r="D11" s="7" t="inlineStr">
        <is>
          <t>Movement types</t>
        </is>
      </c>
      <c r="E11" s="7" t="inlineStr">
        <is>
          <t>Staff</t>
        </is>
      </c>
    </row>
    <row r="12">
      <c r="A12" s="4" t="inlineStr">
        <is>
          <t>Main branch</t>
        </is>
      </c>
      <c r="B12" s="4" t="inlineStr">
        <is>
          <t>Consumable</t>
        </is>
      </c>
      <c r="C12" s="4" t="inlineStr">
        <is>
          <t>United Medical Co.</t>
        </is>
      </c>
      <c r="D12" s="8" t="inlineStr">
        <is>
          <t>In</t>
        </is>
      </c>
      <c r="E12" s="4" t="inlineStr">
        <is>
          <t>Reem Abdullah</t>
        </is>
      </c>
    </row>
    <row r="13">
      <c r="A13" s="4" t="inlineStr">
        <is>
          <t>North branch</t>
        </is>
      </c>
      <c r="B13" s="4" t="inlineStr">
        <is>
          <t>Medicine</t>
        </is>
      </c>
      <c r="C13" s="4" t="inlineStr">
        <is>
          <t>Modern Wholesale Pharmacy</t>
        </is>
      </c>
      <c r="D13" s="8" t="inlineStr">
        <is>
          <t>Out</t>
        </is>
      </c>
      <c r="E13" s="4" t="inlineStr">
        <is>
          <t>Hala Samir</t>
        </is>
      </c>
    </row>
    <row r="14">
      <c r="A14" s="4" t="n"/>
      <c r="B14" s="4" t="inlineStr">
        <is>
          <t>Injectable</t>
        </is>
      </c>
      <c r="C14" s="4" t="inlineStr">
        <is>
          <t>Aesthetic Supplies Co.</t>
        </is>
      </c>
      <c r="D14" s="8" t="inlineStr">
        <is>
          <t>Transfer</t>
        </is>
      </c>
      <c r="E14" s="4" t="inlineStr">
        <is>
          <t>Mona Fahad</t>
        </is>
      </c>
    </row>
    <row r="15">
      <c r="A15" s="4" t="n"/>
      <c r="B15" s="4" t="inlineStr">
        <is>
          <t>Device part</t>
        </is>
      </c>
      <c r="C15" s="4" t="inlineStr">
        <is>
          <t>Gulf Laser Co.</t>
        </is>
      </c>
      <c r="D15" s="8" t="inlineStr">
        <is>
          <t>Waste</t>
        </is>
      </c>
      <c r="E15" s="4" t="inlineStr">
        <is>
          <t>Salma Nasser</t>
        </is>
      </c>
    </row>
    <row r="16">
      <c r="A16" s="4" t="n"/>
      <c r="B16" s="4" t="inlineStr">
        <is>
          <t>Office</t>
        </is>
      </c>
      <c r="C16" s="4" t="inlineStr">
        <is>
          <t>Business Stationers</t>
        </is>
      </c>
      <c r="D16" s="4" t="n"/>
      <c r="E16" s="4" t="inlineStr">
        <is>
          <t>Omar Hassan</t>
        </is>
      </c>
    </row>
    <row r="17">
      <c r="A17" s="4" t="n"/>
      <c r="B17" s="4" t="n"/>
      <c r="C17" s="4" t="n"/>
      <c r="D17" s="4" t="n"/>
      <c r="E17" s="4" t="inlineStr">
        <is>
          <t>Yasmin Ali</t>
        </is>
      </c>
    </row>
    <row r="18">
      <c r="A18" s="4" t="n"/>
      <c r="B18" s="4" t="n"/>
      <c r="C18" s="4" t="n"/>
      <c r="D18" s="4" t="n"/>
      <c r="E18" s="4" t="inlineStr">
        <is>
          <t>Fatima Saad</t>
        </is>
      </c>
    </row>
    <row r="19">
      <c r="A19" s="4" t="n"/>
      <c r="B19" s="4" t="n"/>
      <c r="C19" s="4" t="n"/>
      <c r="D19" s="4" t="n"/>
      <c r="E19" s="4" t="inlineStr">
        <is>
          <t>Youssef Kamal</t>
        </is>
      </c>
    </row>
    <row r="20">
      <c r="A20" s="4" t="n"/>
      <c r="B20" s="4" t="n"/>
      <c r="C20" s="4" t="n"/>
      <c r="D20" s="4" t="n"/>
      <c r="E20" s="4" t="inlineStr">
        <is>
          <t>Dina Mahmoud</t>
        </is>
      </c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  <row r="35">
      <c r="A35" s="4" t="n"/>
      <c r="B35" s="4" t="n"/>
      <c r="C35" s="4" t="n"/>
      <c r="D35" s="4" t="n"/>
      <c r="E35" s="4" t="n"/>
    </row>
    <row r="36">
      <c r="A36" s="4" t="n"/>
      <c r="B36" s="4" t="n"/>
      <c r="C36" s="4" t="n"/>
      <c r="D36" s="4" t="n"/>
      <c r="E36" s="4" t="n"/>
    </row>
    <row r="37">
      <c r="A37" s="4" t="n"/>
      <c r="B37" s="4" t="n"/>
      <c r="C37" s="4" t="n"/>
      <c r="D37" s="4" t="n"/>
      <c r="E37" s="4" t="n"/>
    </row>
    <row r="38">
      <c r="A38" s="4" t="n"/>
      <c r="B38" s="4" t="n"/>
      <c r="C38" s="4" t="n"/>
      <c r="D38" s="4" t="n"/>
      <c r="E38" s="4" t="n"/>
    </row>
    <row r="39">
      <c r="A39" s="4" t="n"/>
      <c r="B39" s="4" t="n"/>
      <c r="C39" s="4" t="n"/>
      <c r="D39" s="4" t="n"/>
      <c r="E39" s="4" t="n"/>
    </row>
    <row r="40">
      <c r="A40" s="4" t="n"/>
      <c r="B40" s="4" t="n"/>
      <c r="C40" s="4" t="n"/>
      <c r="D40" s="4" t="n"/>
      <c r="E40" s="4" t="n"/>
    </row>
    <row r="41">
      <c r="A41" s="4" t="n"/>
      <c r="B41" s="4" t="n"/>
      <c r="C41" s="4" t="n"/>
      <c r="D41" s="4" t="n"/>
      <c r="E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"SAR,EGP,KWD,AED,BHD"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9" t="inlineStr">
        <is>
          <t>On Settings: branches, categories, suppliers and staff, the stock date (type today’s date, or =TODAY()) and the warning limits in days.</t>
        </is>
      </c>
    </row>
    <row r="4" ht="30" customHeight="1">
      <c r="A4" s="3" t="n">
        <v>2</v>
      </c>
      <c r="B4" s="9" t="inlineStr">
        <is>
          <t>On Items, one row per item per branch: supplier, last price, lead time and weekly usage. The minimum works itself out.</t>
        </is>
      </c>
    </row>
    <row r="5" ht="30" customHeight="1">
      <c r="A5" s="3" t="n">
        <v>3</v>
      </c>
      <c r="B5" s="9" t="inlineStr">
        <is>
          <t>Every delivery goes on Batches with its batch number and expiry. Every issue, waste or transfer goes on Movements with the batch number.</t>
        </is>
      </c>
    </row>
    <row r="6" ht="30" customHeight="1">
      <c r="A6" s="3" t="n">
        <v>4</v>
      </c>
      <c r="B6" s="9" t="inlineStr">
        <is>
          <t>Balance shows every item and what is short. Order list gathers what is below minimum by supplier, ready to print. Expiry sorts the batches by date.</t>
        </is>
      </c>
    </row>
    <row r="7" ht="30" customHeight="1">
      <c r="A7" s="3" t="n">
        <v>5</v>
      </c>
      <c r="B7" s="9" t="inlineStr">
        <is>
          <t>Grey cells are formulas, protected without a password. To lift it: Review → Unprotect sheet.</t>
        </is>
      </c>
    </row>
    <row r="9">
      <c r="B9" s="10" t="inlineStr">
        <is>
          <t>Clearing the sample data</t>
        </is>
      </c>
    </row>
    <row r="10" ht="30" customHeight="1">
      <c r="B10" s="9" t="inlineStr">
        <is>
          <t>Select these ranges and press Delete. Do not delete the rows themselves: the formulas in the grey columns stay and work with your numbers.</t>
        </is>
      </c>
    </row>
    <row r="11">
      <c r="B11" s="11" t="inlineStr">
        <is>
          <t>Items: A3:H55</t>
        </is>
      </c>
    </row>
    <row r="12">
      <c r="B12" s="11" t="inlineStr">
        <is>
          <t>Items: J3:K55</t>
        </is>
      </c>
    </row>
    <row r="13">
      <c r="B13" s="11" t="inlineStr">
        <is>
          <t>Batches: A3:A139</t>
        </is>
      </c>
    </row>
    <row r="14">
      <c r="B14" s="11" t="inlineStr">
        <is>
          <t>Batches: C3:G139</t>
        </is>
      </c>
    </row>
    <row r="15">
      <c r="B15" s="11" t="inlineStr">
        <is>
          <t>Movements: A3:B363</t>
        </is>
      </c>
    </row>
    <row r="16">
      <c r="B16" s="11" t="inlineStr">
        <is>
          <t>Movements: D3:J363</t>
        </is>
      </c>
    </row>
    <row r="18">
      <c r="B18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8"/>
  </mergeCells>
  <hyperlinks>
    <hyperlink xmlns:r="http://schemas.openxmlformats.org/officeDocument/2006/relationships" ref="B18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K203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9" customWidth="1" min="4" max="4"/>
    <col width="26" customWidth="1" min="5" max="5"/>
    <col width="10" customWidth="1" min="6" max="6"/>
    <col width="10" customWidth="1" min="7" max="7"/>
    <col width="11" customWidth="1" min="8" max="8"/>
    <col width="10" customWidth="1" min="9" max="9"/>
    <col width="10" customWidth="1" min="10" max="10"/>
    <col width="14" customWidth="1" min="11" max="11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Code</t>
        </is>
      </c>
      <c r="B2" s="7" t="inlineStr">
        <is>
          <t>Item</t>
        </is>
      </c>
      <c r="C2" s="7" t="inlineStr">
        <is>
          <t>Category</t>
        </is>
      </c>
      <c r="D2" s="7" t="inlineStr">
        <is>
          <t>Unit</t>
        </is>
      </c>
      <c r="E2" s="7" t="inlineStr">
        <is>
          <t>Supplier</t>
        </is>
      </c>
      <c r="F2" s="7" t="inlineStr">
        <is>
          <t>Last price</t>
        </is>
      </c>
      <c r="G2" s="7" t="inlineStr">
        <is>
          <t>Lead time (days)</t>
        </is>
      </c>
      <c r="H2" s="7" t="inlineStr">
        <is>
          <t>Weekly usage</t>
        </is>
      </c>
      <c r="I2" s="7" t="inlineStr">
        <is>
          <t>Minimum</t>
        </is>
      </c>
      <c r="J2" s="7" t="inlineStr">
        <is>
          <t>Order quantity</t>
        </is>
      </c>
      <c r="K2" s="7" t="inlineStr">
        <is>
          <t>Branch</t>
        </is>
      </c>
    </row>
    <row r="3">
      <c r="A3" s="4" t="inlineStr">
        <is>
          <t>INV-001</t>
        </is>
      </c>
      <c r="B3" s="4" t="inlineStr">
        <is>
          <t>Nitrile gloves, M</t>
        </is>
      </c>
      <c r="C3" s="4" t="inlineStr">
        <is>
          <t>Consumable</t>
        </is>
      </c>
      <c r="D3" s="4" t="inlineStr">
        <is>
          <t>box</t>
        </is>
      </c>
      <c r="E3" s="4" t="inlineStr">
        <is>
          <t>United Medical Co.</t>
        </is>
      </c>
      <c r="F3" s="13" t="n">
        <v>28</v>
      </c>
      <c r="G3" s="6" t="n">
        <v>7</v>
      </c>
      <c r="H3" s="14" t="n">
        <v>6</v>
      </c>
      <c r="I3" s="15">
        <f>IF(OR($A3="",$H3="",$G3=""),"",$H3*$G3/7*1.5)</f>
        <v/>
      </c>
      <c r="J3" s="6" t="n">
        <v>24</v>
      </c>
      <c r="K3" s="4" t="inlineStr">
        <is>
          <t>Main branch</t>
        </is>
      </c>
    </row>
    <row r="4">
      <c r="A4" s="4" t="inlineStr">
        <is>
          <t>INV-002</t>
        </is>
      </c>
      <c r="B4" s="4" t="inlineStr">
        <is>
          <t>Nitrile gloves, L</t>
        </is>
      </c>
      <c r="C4" s="4" t="inlineStr">
        <is>
          <t>Consumable</t>
        </is>
      </c>
      <c r="D4" s="4" t="inlineStr">
        <is>
          <t>box</t>
        </is>
      </c>
      <c r="E4" s="4" t="inlineStr">
        <is>
          <t>United Medical Co.</t>
        </is>
      </c>
      <c r="F4" s="13" t="n">
        <v>28</v>
      </c>
      <c r="G4" s="6" t="n">
        <v>7</v>
      </c>
      <c r="H4" s="14" t="n">
        <v>4</v>
      </c>
      <c r="I4" s="15">
        <f>IF(OR($A4="",$H4="",$G4=""),"",$H4*$G4/7*1.5)</f>
        <v/>
      </c>
      <c r="J4" s="6" t="n">
        <v>16</v>
      </c>
      <c r="K4" s="4" t="inlineStr">
        <is>
          <t>Main branch</t>
        </is>
      </c>
    </row>
    <row r="5">
      <c r="A5" s="4" t="inlineStr">
        <is>
          <t>INV-003</t>
        </is>
      </c>
      <c r="B5" s="4" t="inlineStr">
        <is>
          <t>Face masks</t>
        </is>
      </c>
      <c r="C5" s="4" t="inlineStr">
        <is>
          <t>Consumable</t>
        </is>
      </c>
      <c r="D5" s="4" t="inlineStr">
        <is>
          <t>box</t>
        </is>
      </c>
      <c r="E5" s="4" t="inlineStr">
        <is>
          <t>United Medical Co.</t>
        </is>
      </c>
      <c r="F5" s="13" t="n">
        <v>15</v>
      </c>
      <c r="G5" s="6" t="n">
        <v>7</v>
      </c>
      <c r="H5" s="14" t="n">
        <v>5</v>
      </c>
      <c r="I5" s="15">
        <f>IF(OR($A5="",$H5="",$G5=""),"",$H5*$G5/7*1.5)</f>
        <v/>
      </c>
      <c r="J5" s="6" t="n">
        <v>20</v>
      </c>
      <c r="K5" s="4" t="inlineStr">
        <is>
          <t>Main branch</t>
        </is>
      </c>
    </row>
    <row r="6">
      <c r="A6" s="4" t="inlineStr">
        <is>
          <t>INV-004</t>
        </is>
      </c>
      <c r="B6" s="4" t="inlineStr">
        <is>
          <t>Gauze swabs 10×10</t>
        </is>
      </c>
      <c r="C6" s="4" t="inlineStr">
        <is>
          <t>Consumable</t>
        </is>
      </c>
      <c r="D6" s="4" t="inlineStr">
        <is>
          <t>pack</t>
        </is>
      </c>
      <c r="E6" s="4" t="inlineStr">
        <is>
          <t>United Medical Co.</t>
        </is>
      </c>
      <c r="F6" s="13" t="n">
        <v>12</v>
      </c>
      <c r="G6" s="6" t="n">
        <v>7</v>
      </c>
      <c r="H6" s="14" t="n">
        <v>6</v>
      </c>
      <c r="I6" s="15">
        <f>IF(OR($A6="",$H6="",$G6=""),"",$H6*$G6/7*1.5)</f>
        <v/>
      </c>
      <c r="J6" s="6" t="n">
        <v>24</v>
      </c>
      <c r="K6" s="4" t="inlineStr">
        <is>
          <t>Main branch</t>
        </is>
      </c>
    </row>
    <row r="7">
      <c r="A7" s="4" t="inlineStr">
        <is>
          <t>INV-005</t>
        </is>
      </c>
      <c r="B7" s="4" t="inlineStr">
        <is>
          <t>Alcohol swabs</t>
        </is>
      </c>
      <c r="C7" s="4" t="inlineStr">
        <is>
          <t>Consumable</t>
        </is>
      </c>
      <c r="D7" s="4" t="inlineStr">
        <is>
          <t>box</t>
        </is>
      </c>
      <c r="E7" s="4" t="inlineStr">
        <is>
          <t>United Medical Co.</t>
        </is>
      </c>
      <c r="F7" s="13" t="n">
        <v>18</v>
      </c>
      <c r="G7" s="6" t="n">
        <v>7</v>
      </c>
      <c r="H7" s="14" t="n">
        <v>3</v>
      </c>
      <c r="I7" s="15">
        <f>IF(OR($A7="",$H7="",$G7=""),"",$H7*$G7/7*1.5)</f>
        <v/>
      </c>
      <c r="J7" s="6" t="n">
        <v>12</v>
      </c>
      <c r="K7" s="4" t="inlineStr">
        <is>
          <t>Main branch</t>
        </is>
      </c>
    </row>
    <row r="8">
      <c r="A8" s="4" t="inlineStr">
        <is>
          <t>INV-006</t>
        </is>
      </c>
      <c r="B8" s="4" t="inlineStr">
        <is>
          <t>Syringes 5 ml</t>
        </is>
      </c>
      <c r="C8" s="4" t="inlineStr">
        <is>
          <t>Consumable</t>
        </is>
      </c>
      <c r="D8" s="4" t="inlineStr">
        <is>
          <t>box</t>
        </is>
      </c>
      <c r="E8" s="4" t="inlineStr">
        <is>
          <t>United Medical Co.</t>
        </is>
      </c>
      <c r="F8" s="13" t="n">
        <v>35</v>
      </c>
      <c r="G8" s="6" t="n">
        <v>10</v>
      </c>
      <c r="H8" s="14" t="n">
        <v>2</v>
      </c>
      <c r="I8" s="15">
        <f>IF(OR($A8="",$H8="",$G8=""),"",$H8*$G8/7*1.5)</f>
        <v/>
      </c>
      <c r="J8" s="6" t="n">
        <v>8</v>
      </c>
      <c r="K8" s="4" t="inlineStr">
        <is>
          <t>Main branch</t>
        </is>
      </c>
    </row>
    <row r="9">
      <c r="A9" s="4" t="inlineStr">
        <is>
          <t>INV-007</t>
        </is>
      </c>
      <c r="B9" s="4" t="inlineStr">
        <is>
          <t>Syringes 1 ml</t>
        </is>
      </c>
      <c r="C9" s="4" t="inlineStr">
        <is>
          <t>Consumable</t>
        </is>
      </c>
      <c r="D9" s="4" t="inlineStr">
        <is>
          <t>box</t>
        </is>
      </c>
      <c r="E9" s="4" t="inlineStr">
        <is>
          <t>United Medical Co.</t>
        </is>
      </c>
      <c r="F9" s="13" t="n">
        <v>40</v>
      </c>
      <c r="G9" s="6" t="n">
        <v>10</v>
      </c>
      <c r="H9" s="14" t="n">
        <v>2</v>
      </c>
      <c r="I9" s="15">
        <f>IF(OR($A9="",$H9="",$G9=""),"",$H9*$G9/7*1.5)</f>
        <v/>
      </c>
      <c r="J9" s="6" t="n">
        <v>8</v>
      </c>
      <c r="K9" s="4" t="inlineStr">
        <is>
          <t>Main branch</t>
        </is>
      </c>
    </row>
    <row r="10">
      <c r="A10" s="4" t="inlineStr">
        <is>
          <t>INV-008</t>
        </is>
      </c>
      <c r="B10" s="4" t="inlineStr">
        <is>
          <t>Needles 30G</t>
        </is>
      </c>
      <c r="C10" s="4" t="inlineStr">
        <is>
          <t>Consumable</t>
        </is>
      </c>
      <c r="D10" s="4" t="inlineStr">
        <is>
          <t>box</t>
        </is>
      </c>
      <c r="E10" s="4" t="inlineStr">
        <is>
          <t>United Medical Co.</t>
        </is>
      </c>
      <c r="F10" s="13" t="n">
        <v>45</v>
      </c>
      <c r="G10" s="6" t="n">
        <v>10</v>
      </c>
      <c r="H10" s="14" t="n">
        <v>2</v>
      </c>
      <c r="I10" s="15">
        <f>IF(OR($A10="",$H10="",$G10=""),"",$H10*$G10/7*1.5)</f>
        <v/>
      </c>
      <c r="J10" s="6" t="n">
        <v>8</v>
      </c>
      <c r="K10" s="4" t="inlineStr">
        <is>
          <t>Main branch</t>
        </is>
      </c>
    </row>
    <row r="11">
      <c r="A11" s="4" t="inlineStr">
        <is>
          <t>INV-009</t>
        </is>
      </c>
      <c r="B11" s="4" t="inlineStr">
        <is>
          <t>Cannulas 25G</t>
        </is>
      </c>
      <c r="C11" s="4" t="inlineStr">
        <is>
          <t>Consumable</t>
        </is>
      </c>
      <c r="D11" s="4" t="inlineStr">
        <is>
          <t>box</t>
        </is>
      </c>
      <c r="E11" s="4" t="inlineStr">
        <is>
          <t>Aesthetic Supplies Co.</t>
        </is>
      </c>
      <c r="F11" s="13" t="n">
        <v>220</v>
      </c>
      <c r="G11" s="6" t="n">
        <v>14</v>
      </c>
      <c r="H11" s="14" t="n">
        <v>0.5</v>
      </c>
      <c r="I11" s="15">
        <f>IF(OR($A11="",$H11="",$G11=""),"",$H11*$G11/7*1.5)</f>
        <v/>
      </c>
      <c r="J11" s="6" t="n">
        <v>2</v>
      </c>
      <c r="K11" s="4" t="inlineStr">
        <is>
          <t>Main branch</t>
        </is>
      </c>
    </row>
    <row r="12">
      <c r="A12" s="4" t="inlineStr">
        <is>
          <t>INV-010</t>
        </is>
      </c>
      <c r="B12" s="4" t="inlineStr">
        <is>
          <t>Laser gel 5 L</t>
        </is>
      </c>
      <c r="C12" s="4" t="inlineStr">
        <is>
          <t>Consumable</t>
        </is>
      </c>
      <c r="D12" s="4" t="inlineStr">
        <is>
          <t>can</t>
        </is>
      </c>
      <c r="E12" s="4" t="inlineStr">
        <is>
          <t>Gulf Laser Co.</t>
        </is>
      </c>
      <c r="F12" s="13" t="n">
        <v>95</v>
      </c>
      <c r="G12" s="6" t="n">
        <v>14</v>
      </c>
      <c r="H12" s="14" t="n">
        <v>1.5</v>
      </c>
      <c r="I12" s="15">
        <f>IF(OR($A12="",$H12="",$G12=""),"",$H12*$G12/7*1.5)</f>
        <v/>
      </c>
      <c r="J12" s="6" t="n">
        <v>6</v>
      </c>
      <c r="K12" s="4" t="inlineStr">
        <is>
          <t>Main branch</t>
        </is>
      </c>
    </row>
    <row r="13">
      <c r="A13" s="4" t="inlineStr">
        <is>
          <t>INV-011</t>
        </is>
      </c>
      <c r="B13" s="4" t="inlineStr">
        <is>
          <t>Ultrasound gel 250 ml</t>
        </is>
      </c>
      <c r="C13" s="4" t="inlineStr">
        <is>
          <t>Consumable</t>
        </is>
      </c>
      <c r="D13" s="4" t="inlineStr">
        <is>
          <t>bottle</t>
        </is>
      </c>
      <c r="E13" s="4" t="inlineStr">
        <is>
          <t>United Medical Co.</t>
        </is>
      </c>
      <c r="F13" s="13" t="n">
        <v>9</v>
      </c>
      <c r="G13" s="6" t="n">
        <v>7</v>
      </c>
      <c r="H13" s="14" t="n">
        <v>4</v>
      </c>
      <c r="I13" s="15">
        <f>IF(OR($A13="",$H13="",$G13=""),"",$H13*$G13/7*1.5)</f>
        <v/>
      </c>
      <c r="J13" s="6" t="n">
        <v>16</v>
      </c>
      <c r="K13" s="4" t="inlineStr">
        <is>
          <t>Main branch</t>
        </is>
      </c>
    </row>
    <row r="14">
      <c r="A14" s="4" t="inlineStr">
        <is>
          <t>INV-012</t>
        </is>
      </c>
      <c r="B14" s="4" t="inlineStr">
        <is>
          <t>Couch roll</t>
        </is>
      </c>
      <c r="C14" s="4" t="inlineStr">
        <is>
          <t>Consumable</t>
        </is>
      </c>
      <c r="D14" s="4" t="inlineStr">
        <is>
          <t>roll</t>
        </is>
      </c>
      <c r="E14" s="4" t="inlineStr">
        <is>
          <t>United Medical Co.</t>
        </is>
      </c>
      <c r="F14" s="13" t="n">
        <v>22</v>
      </c>
      <c r="G14" s="6" t="n">
        <v>7</v>
      </c>
      <c r="H14" s="14" t="n">
        <v>5</v>
      </c>
      <c r="I14" s="15">
        <f>IF(OR($A14="",$H14="",$G14=""),"",$H14*$G14/7*1.5)</f>
        <v/>
      </c>
      <c r="J14" s="6" t="n">
        <v>20</v>
      </c>
      <c r="K14" s="4" t="inlineStr">
        <is>
          <t>Main branch</t>
        </is>
      </c>
    </row>
    <row r="15">
      <c r="A15" s="4" t="inlineStr">
        <is>
          <t>INV-013</t>
        </is>
      </c>
      <c r="B15" s="4" t="inlineStr">
        <is>
          <t>Cotton pads</t>
        </is>
      </c>
      <c r="C15" s="4" t="inlineStr">
        <is>
          <t>Consumable</t>
        </is>
      </c>
      <c r="D15" s="4" t="inlineStr">
        <is>
          <t>pack</t>
        </is>
      </c>
      <c r="E15" s="4" t="inlineStr">
        <is>
          <t>United Medical Co.</t>
        </is>
      </c>
      <c r="F15" s="13" t="n">
        <v>8</v>
      </c>
      <c r="G15" s="6" t="n">
        <v>7</v>
      </c>
      <c r="H15" s="14" t="n">
        <v>4</v>
      </c>
      <c r="I15" s="15">
        <f>IF(OR($A15="",$H15="",$G15=""),"",$H15*$G15/7*1.5)</f>
        <v/>
      </c>
      <c r="J15" s="6" t="n">
        <v>16</v>
      </c>
      <c r="K15" s="4" t="inlineStr">
        <is>
          <t>Main branch</t>
        </is>
      </c>
    </row>
    <row r="16">
      <c r="A16" s="4" t="inlineStr">
        <is>
          <t>INV-014</t>
        </is>
      </c>
      <c r="B16" s="4" t="inlineStr">
        <is>
          <t>Sterilisation pouches</t>
        </is>
      </c>
      <c r="C16" s="4" t="inlineStr">
        <is>
          <t>Consumable</t>
        </is>
      </c>
      <c r="D16" s="4" t="inlineStr">
        <is>
          <t>box</t>
        </is>
      </c>
      <c r="E16" s="4" t="inlineStr">
        <is>
          <t>United Medical Co.</t>
        </is>
      </c>
      <c r="F16" s="13" t="n">
        <v>65</v>
      </c>
      <c r="G16" s="6" t="n">
        <v>14</v>
      </c>
      <c r="H16" s="14" t="n">
        <v>2</v>
      </c>
      <c r="I16" s="15">
        <f>IF(OR($A16="",$H16="",$G16=""),"",$H16*$G16/7*1.5)</f>
        <v/>
      </c>
      <c r="J16" s="6" t="n">
        <v>8</v>
      </c>
      <c r="K16" s="4" t="inlineStr">
        <is>
          <t>Main branch</t>
        </is>
      </c>
    </row>
    <row r="17">
      <c r="A17" s="4" t="inlineStr">
        <is>
          <t>INV-015</t>
        </is>
      </c>
      <c r="B17" s="4" t="inlineStr">
        <is>
          <t>Sterilisation indicator strips</t>
        </is>
      </c>
      <c r="C17" s="4" t="inlineStr">
        <is>
          <t>Consumable</t>
        </is>
      </c>
      <c r="D17" s="4" t="inlineStr">
        <is>
          <t>box</t>
        </is>
      </c>
      <c r="E17" s="4" t="inlineStr">
        <is>
          <t>United Medical Co.</t>
        </is>
      </c>
      <c r="F17" s="13" t="n">
        <v>120</v>
      </c>
      <c r="G17" s="6" t="n">
        <v>21</v>
      </c>
      <c r="H17" s="14" t="n">
        <v>0.5</v>
      </c>
      <c r="I17" s="15">
        <f>IF(OR($A17="",$H17="",$G17=""),"",$H17*$G17/7*1.5)</f>
        <v/>
      </c>
      <c r="J17" s="6" t="n">
        <v>2</v>
      </c>
      <c r="K17" s="4" t="inlineStr">
        <is>
          <t>Main branch</t>
        </is>
      </c>
    </row>
    <row r="18">
      <c r="A18" s="4" t="inlineStr">
        <is>
          <t>INV-016</t>
        </is>
      </c>
      <c r="B18" s="4" t="inlineStr">
        <is>
          <t>Surface disinfectant spray</t>
        </is>
      </c>
      <c r="C18" s="4" t="inlineStr">
        <is>
          <t>Consumable</t>
        </is>
      </c>
      <c r="D18" s="4" t="inlineStr">
        <is>
          <t>bottle</t>
        </is>
      </c>
      <c r="E18" s="4" t="inlineStr">
        <is>
          <t>United Medical Co.</t>
        </is>
      </c>
      <c r="F18" s="13" t="n">
        <v>26</v>
      </c>
      <c r="G18" s="6" t="n">
        <v>7</v>
      </c>
      <c r="H18" s="14" t="n">
        <v>3</v>
      </c>
      <c r="I18" s="15">
        <f>IF(OR($A18="",$H18="",$G18=""),"",$H18*$G18/7*1.5)</f>
        <v/>
      </c>
      <c r="J18" s="6" t="n">
        <v>12</v>
      </c>
      <c r="K18" s="4" t="inlineStr">
        <is>
          <t>Main branch</t>
        </is>
      </c>
    </row>
    <row r="19">
      <c r="A19" s="4" t="inlineStr">
        <is>
          <t>INV-017</t>
        </is>
      </c>
      <c r="B19" s="4" t="inlineStr">
        <is>
          <t>Hand sanitiser 500 ml</t>
        </is>
      </c>
      <c r="C19" s="4" t="inlineStr">
        <is>
          <t>Consumable</t>
        </is>
      </c>
      <c r="D19" s="4" t="inlineStr">
        <is>
          <t>bottle</t>
        </is>
      </c>
      <c r="E19" s="4" t="inlineStr">
        <is>
          <t>United Medical Co.</t>
        </is>
      </c>
      <c r="F19" s="13" t="n">
        <v>14</v>
      </c>
      <c r="G19" s="6" t="n">
        <v>7</v>
      </c>
      <c r="H19" s="14" t="n">
        <v>6</v>
      </c>
      <c r="I19" s="15">
        <f>IF(OR($A19="",$H19="",$G19=""),"",$H19*$G19/7*1.5)</f>
        <v/>
      </c>
      <c r="J19" s="6" t="n">
        <v>24</v>
      </c>
      <c r="K19" s="4" t="inlineStr">
        <is>
          <t>Main branch</t>
        </is>
      </c>
    </row>
    <row r="20">
      <c r="A20" s="4" t="inlineStr">
        <is>
          <t>INV-018</t>
        </is>
      </c>
      <c r="B20" s="4" t="inlineStr">
        <is>
          <t>Sharps container 5 L</t>
        </is>
      </c>
      <c r="C20" s="4" t="inlineStr">
        <is>
          <t>Consumable</t>
        </is>
      </c>
      <c r="D20" s="4" t="inlineStr">
        <is>
          <t>piece</t>
        </is>
      </c>
      <c r="E20" s="4" t="inlineStr">
        <is>
          <t>United Medical Co.</t>
        </is>
      </c>
      <c r="F20" s="13" t="n">
        <v>18</v>
      </c>
      <c r="G20" s="6" t="n">
        <v>14</v>
      </c>
      <c r="H20" s="14" t="n">
        <v>1</v>
      </c>
      <c r="I20" s="15">
        <f>IF(OR($A20="",$H20="",$G20=""),"",$H20*$G20/7*1.5)</f>
        <v/>
      </c>
      <c r="J20" s="6" t="n">
        <v>4</v>
      </c>
      <c r="K20" s="4" t="inlineStr">
        <is>
          <t>Main branch</t>
        </is>
      </c>
    </row>
    <row r="21">
      <c r="A21" s="4" t="inlineStr">
        <is>
          <t>INV-019</t>
        </is>
      </c>
      <c r="B21" s="4" t="inlineStr">
        <is>
          <t>Topical anaesthetic cream 30 g</t>
        </is>
      </c>
      <c r="C21" s="4" t="inlineStr">
        <is>
          <t>Medicine</t>
        </is>
      </c>
      <c r="D21" s="4" t="inlineStr">
        <is>
          <t>tube</t>
        </is>
      </c>
      <c r="E21" s="4" t="inlineStr">
        <is>
          <t>Modern Wholesale Pharmacy</t>
        </is>
      </c>
      <c r="F21" s="13" t="n">
        <v>32</v>
      </c>
      <c r="G21" s="6" t="n">
        <v>14</v>
      </c>
      <c r="H21" s="14" t="n">
        <v>3</v>
      </c>
      <c r="I21" s="15">
        <f>IF(OR($A21="",$H21="",$G21=""),"",$H21*$G21/7*1.5)</f>
        <v/>
      </c>
      <c r="J21" s="6" t="n">
        <v>12</v>
      </c>
      <c r="K21" s="4" t="inlineStr">
        <is>
          <t>Main branch</t>
        </is>
      </c>
    </row>
    <row r="22">
      <c r="A22" s="4" t="inlineStr">
        <is>
          <t>INV-020</t>
        </is>
      </c>
      <c r="B22" s="4" t="inlineStr">
        <is>
          <t>Fusidic acid cream 15 g</t>
        </is>
      </c>
      <c r="C22" s="4" t="inlineStr">
        <is>
          <t>Medicine</t>
        </is>
      </c>
      <c r="D22" s="4" t="inlineStr">
        <is>
          <t>tube</t>
        </is>
      </c>
      <c r="E22" s="4" t="inlineStr">
        <is>
          <t>Modern Wholesale Pharmacy</t>
        </is>
      </c>
      <c r="F22" s="13" t="n">
        <v>18</v>
      </c>
      <c r="G22" s="6" t="n">
        <v>14</v>
      </c>
      <c r="H22" s="14" t="n">
        <v>1</v>
      </c>
      <c r="I22" s="15">
        <f>IF(OR($A22="",$H22="",$G22=""),"",$H22*$G22/7*1.5)</f>
        <v/>
      </c>
      <c r="J22" s="6" t="n">
        <v>4</v>
      </c>
      <c r="K22" s="4" t="inlineStr">
        <is>
          <t>Main branch</t>
        </is>
      </c>
    </row>
    <row r="23">
      <c r="A23" s="4" t="inlineStr">
        <is>
          <t>INV-021</t>
        </is>
      </c>
      <c r="B23" s="4" t="inlineStr">
        <is>
          <t>Paracetamol 500 mg</t>
        </is>
      </c>
      <c r="C23" s="4" t="inlineStr">
        <is>
          <t>Medicine</t>
        </is>
      </c>
      <c r="D23" s="4" t="inlineStr">
        <is>
          <t>pack</t>
        </is>
      </c>
      <c r="E23" s="4" t="inlineStr">
        <is>
          <t>Modern Wholesale Pharmacy</t>
        </is>
      </c>
      <c r="F23" s="13" t="n">
        <v>6</v>
      </c>
      <c r="G23" s="6" t="n">
        <v>7</v>
      </c>
      <c r="H23" s="14" t="n">
        <v>2</v>
      </c>
      <c r="I23" s="15">
        <f>IF(OR($A23="",$H23="",$G23=""),"",$H23*$G23/7*1.5)</f>
        <v/>
      </c>
      <c r="J23" s="6" t="n">
        <v>8</v>
      </c>
      <c r="K23" s="4" t="inlineStr">
        <is>
          <t>Main branch</t>
        </is>
      </c>
    </row>
    <row r="24">
      <c r="A24" s="4" t="inlineStr">
        <is>
          <t>INV-022</t>
        </is>
      </c>
      <c r="B24" s="4" t="inlineStr">
        <is>
          <t>Chlorhexidine solution 500 ml</t>
        </is>
      </c>
      <c r="C24" s="4" t="inlineStr">
        <is>
          <t>Medicine</t>
        </is>
      </c>
      <c r="D24" s="4" t="inlineStr">
        <is>
          <t>bottle</t>
        </is>
      </c>
      <c r="E24" s="4" t="inlineStr">
        <is>
          <t>Modern Wholesale Pharmacy</t>
        </is>
      </c>
      <c r="F24" s="13" t="n">
        <v>21</v>
      </c>
      <c r="G24" s="6" t="n">
        <v>14</v>
      </c>
      <c r="H24" s="14" t="n">
        <v>1.5</v>
      </c>
      <c r="I24" s="15">
        <f>IF(OR($A24="",$H24="",$G24=""),"",$H24*$G24/7*1.5)</f>
        <v/>
      </c>
      <c r="J24" s="6" t="n">
        <v>6</v>
      </c>
      <c r="K24" s="4" t="inlineStr">
        <is>
          <t>Main branch</t>
        </is>
      </c>
    </row>
    <row r="25">
      <c r="A25" s="4" t="inlineStr">
        <is>
          <t>INV-023</t>
        </is>
      </c>
      <c r="B25" s="4" t="inlineStr">
        <is>
          <t>Hyaluronic acid filler 1 ml</t>
        </is>
      </c>
      <c r="C25" s="4" t="inlineStr">
        <is>
          <t>Injectable</t>
        </is>
      </c>
      <c r="D25" s="4" t="inlineStr">
        <is>
          <t>syringe</t>
        </is>
      </c>
      <c r="E25" s="4" t="inlineStr">
        <is>
          <t>Aesthetic Supplies Co.</t>
        </is>
      </c>
      <c r="F25" s="13" t="n">
        <v>650</v>
      </c>
      <c r="G25" s="6" t="n">
        <v>21</v>
      </c>
      <c r="H25" s="14" t="n">
        <v>4</v>
      </c>
      <c r="I25" s="15">
        <f>IF(OR($A25="",$H25="",$G25=""),"",$H25*$G25/7*1.5)</f>
        <v/>
      </c>
      <c r="J25" s="6" t="n">
        <v>16</v>
      </c>
      <c r="K25" s="4" t="inlineStr">
        <is>
          <t>Main branch</t>
        </is>
      </c>
    </row>
    <row r="26">
      <c r="A26" s="4" t="inlineStr">
        <is>
          <t>INV-024</t>
        </is>
      </c>
      <c r="B26" s="4" t="inlineStr">
        <is>
          <t>Botulinum toxin 100 U</t>
        </is>
      </c>
      <c r="C26" s="4" t="inlineStr">
        <is>
          <t>Injectable</t>
        </is>
      </c>
      <c r="D26" s="4" t="inlineStr">
        <is>
          <t>vial</t>
        </is>
      </c>
      <c r="E26" s="4" t="inlineStr">
        <is>
          <t>Aesthetic Supplies Co.</t>
        </is>
      </c>
      <c r="F26" s="13" t="n">
        <v>900</v>
      </c>
      <c r="G26" s="6" t="n">
        <v>21</v>
      </c>
      <c r="H26" s="14" t="n">
        <v>3</v>
      </c>
      <c r="I26" s="15">
        <f>IF(OR($A26="",$H26="",$G26=""),"",$H26*$G26/7*1.5)</f>
        <v/>
      </c>
      <c r="J26" s="6" t="n">
        <v>12</v>
      </c>
      <c r="K26" s="4" t="inlineStr">
        <is>
          <t>Main branch</t>
        </is>
      </c>
    </row>
    <row r="27">
      <c r="A27" s="4" t="inlineStr">
        <is>
          <t>INV-025</t>
        </is>
      </c>
      <c r="B27" s="4" t="inlineStr">
        <is>
          <t>Skin booster 2 ml</t>
        </is>
      </c>
      <c r="C27" s="4" t="inlineStr">
        <is>
          <t>Injectable</t>
        </is>
      </c>
      <c r="D27" s="4" t="inlineStr">
        <is>
          <t>syringe</t>
        </is>
      </c>
      <c r="E27" s="4" t="inlineStr">
        <is>
          <t>Aesthetic Supplies Co.</t>
        </is>
      </c>
      <c r="F27" s="13" t="n">
        <v>480</v>
      </c>
      <c r="G27" s="6" t="n">
        <v>21</v>
      </c>
      <c r="H27" s="14" t="n">
        <v>1.5</v>
      </c>
      <c r="I27" s="15">
        <f>IF(OR($A27="",$H27="",$G27=""),"",$H27*$G27/7*1.5)</f>
        <v/>
      </c>
      <c r="J27" s="6" t="n">
        <v>6</v>
      </c>
      <c r="K27" s="4" t="inlineStr">
        <is>
          <t>Main branch</t>
        </is>
      </c>
    </row>
    <row r="28">
      <c r="A28" s="4" t="inlineStr">
        <is>
          <t>INV-026</t>
        </is>
      </c>
      <c r="B28" s="4" t="inlineStr">
        <is>
          <t>PRP kit</t>
        </is>
      </c>
      <c r="C28" s="4" t="inlineStr">
        <is>
          <t>Injectable</t>
        </is>
      </c>
      <c r="D28" s="4" t="inlineStr">
        <is>
          <t>kit</t>
        </is>
      </c>
      <c r="E28" s="4" t="inlineStr">
        <is>
          <t>Aesthetic Supplies Co.</t>
        </is>
      </c>
      <c r="F28" s="13" t="n">
        <v>160</v>
      </c>
      <c r="G28" s="6" t="n">
        <v>14</v>
      </c>
      <c r="H28" s="14" t="n">
        <v>2</v>
      </c>
      <c r="I28" s="15">
        <f>IF(OR($A28="",$H28="",$G28=""),"",$H28*$G28/7*1.5)</f>
        <v/>
      </c>
      <c r="J28" s="6" t="n">
        <v>8</v>
      </c>
      <c r="K28" s="4" t="inlineStr">
        <is>
          <t>Main branch</t>
        </is>
      </c>
    </row>
    <row r="29">
      <c r="A29" s="4" t="inlineStr">
        <is>
          <t>INV-027</t>
        </is>
      </c>
      <c r="B29" s="4" t="inlineStr">
        <is>
          <t>Vitamin C ampoules</t>
        </is>
      </c>
      <c r="C29" s="4" t="inlineStr">
        <is>
          <t>Injectable</t>
        </is>
      </c>
      <c r="D29" s="4" t="inlineStr">
        <is>
          <t>ampoule</t>
        </is>
      </c>
      <c r="E29" s="4" t="inlineStr">
        <is>
          <t>Aesthetic Supplies Co.</t>
        </is>
      </c>
      <c r="F29" s="13" t="n">
        <v>25</v>
      </c>
      <c r="G29" s="6" t="n">
        <v>14</v>
      </c>
      <c r="H29" s="14" t="n">
        <v>3</v>
      </c>
      <c r="I29" s="15">
        <f>IF(OR($A29="",$H29="",$G29=""),"",$H29*$G29/7*1.5)</f>
        <v/>
      </c>
      <c r="J29" s="6" t="n">
        <v>12</v>
      </c>
      <c r="K29" s="4" t="inlineStr">
        <is>
          <t>Main branch</t>
        </is>
      </c>
    </row>
    <row r="30">
      <c r="A30" s="4" t="inlineStr">
        <is>
          <t>INV-028</t>
        </is>
      </c>
      <c r="B30" s="4" t="inlineStr">
        <is>
          <t>Hyaluronidase</t>
        </is>
      </c>
      <c r="C30" s="4" t="inlineStr">
        <is>
          <t>Injectable</t>
        </is>
      </c>
      <c r="D30" s="4" t="inlineStr">
        <is>
          <t>vial</t>
        </is>
      </c>
      <c r="E30" s="4" t="inlineStr">
        <is>
          <t>Aesthetic Supplies Co.</t>
        </is>
      </c>
      <c r="F30" s="13" t="n">
        <v>280</v>
      </c>
      <c r="G30" s="6" t="n">
        <v>30</v>
      </c>
      <c r="H30" s="14" t="n">
        <v>0.2</v>
      </c>
      <c r="I30" s="15">
        <f>IF(OR($A30="",$H30="",$G30=""),"",$H30*$G30/7*1.5)</f>
        <v/>
      </c>
      <c r="J30" s="6" t="n">
        <v>3</v>
      </c>
      <c r="K30" s="4" t="inlineStr">
        <is>
          <t>Main branch</t>
        </is>
      </c>
    </row>
    <row r="31">
      <c r="A31" s="4" t="inlineStr">
        <is>
          <t>INV-029</t>
        </is>
      </c>
      <c r="B31" s="4" t="inlineStr">
        <is>
          <t>Mesotherapy solution 5 ml</t>
        </is>
      </c>
      <c r="C31" s="4" t="inlineStr">
        <is>
          <t>Injectable</t>
        </is>
      </c>
      <c r="D31" s="4" t="inlineStr">
        <is>
          <t>vial</t>
        </is>
      </c>
      <c r="E31" s="4" t="inlineStr">
        <is>
          <t>Aesthetic Supplies Co.</t>
        </is>
      </c>
      <c r="F31" s="13" t="n">
        <v>70</v>
      </c>
      <c r="G31" s="6" t="n">
        <v>21</v>
      </c>
      <c r="H31" s="14" t="n">
        <v>2</v>
      </c>
      <c r="I31" s="15">
        <f>IF(OR($A31="",$H31="",$G31=""),"",$H31*$G31/7*1.5)</f>
        <v/>
      </c>
      <c r="J31" s="6" t="n">
        <v>8</v>
      </c>
      <c r="K31" s="4" t="inlineStr">
        <is>
          <t>Main branch</t>
        </is>
      </c>
    </row>
    <row r="32">
      <c r="A32" s="4" t="inlineStr">
        <is>
          <t>INV-030</t>
        </is>
      </c>
      <c r="B32" s="4" t="inlineStr">
        <is>
          <t>Diode laser handpiece window</t>
        </is>
      </c>
      <c r="C32" s="4" t="inlineStr">
        <is>
          <t>Device part</t>
        </is>
      </c>
      <c r="D32" s="4" t="inlineStr">
        <is>
          <t>piece</t>
        </is>
      </c>
      <c r="E32" s="4" t="inlineStr">
        <is>
          <t>Gulf Laser Co.</t>
        </is>
      </c>
      <c r="F32" s="13" t="n">
        <v>850</v>
      </c>
      <c r="G32" s="6" t="n">
        <v>45</v>
      </c>
      <c r="H32" s="14" t="n">
        <v>0.1</v>
      </c>
      <c r="I32" s="15">
        <f>IF(OR($A32="",$H32="",$G32=""),"",$H32*$G32/7*1.5)</f>
        <v/>
      </c>
      <c r="J32" s="6" t="n">
        <v>2</v>
      </c>
      <c r="K32" s="4" t="inlineStr">
        <is>
          <t>Main branch</t>
        </is>
      </c>
    </row>
    <row r="33">
      <c r="A33" s="4" t="inlineStr">
        <is>
          <t>INV-031</t>
        </is>
      </c>
      <c r="B33" s="4" t="inlineStr">
        <is>
          <t>Laser safety eyewear</t>
        </is>
      </c>
      <c r="C33" s="4" t="inlineStr">
        <is>
          <t>Device part</t>
        </is>
      </c>
      <c r="D33" s="4" t="inlineStr">
        <is>
          <t>piece</t>
        </is>
      </c>
      <c r="E33" s="4" t="inlineStr">
        <is>
          <t>Gulf Laser Co.</t>
        </is>
      </c>
      <c r="F33" s="13" t="n">
        <v>180</v>
      </c>
      <c r="G33" s="6" t="n">
        <v>30</v>
      </c>
      <c r="H33" s="14" t="n">
        <v>0.1</v>
      </c>
      <c r="I33" s="15">
        <f>IF(OR($A33="",$H33="",$G33=""),"",$H33*$G33/7*1.5)</f>
        <v/>
      </c>
      <c r="J33" s="6" t="n">
        <v>1</v>
      </c>
      <c r="K33" s="4" t="inlineStr">
        <is>
          <t>Main branch</t>
        </is>
      </c>
    </row>
    <row r="34">
      <c r="A34" s="4" t="inlineStr">
        <is>
          <t>INV-032</t>
        </is>
      </c>
      <c r="B34" s="4" t="inlineStr">
        <is>
          <t>IPL filter 640 nm</t>
        </is>
      </c>
      <c r="C34" s="4" t="inlineStr">
        <is>
          <t>Device part</t>
        </is>
      </c>
      <c r="D34" s="4" t="inlineStr">
        <is>
          <t>piece</t>
        </is>
      </c>
      <c r="E34" s="4" t="inlineStr">
        <is>
          <t>Gulf Laser Co.</t>
        </is>
      </c>
      <c r="F34" s="13" t="n">
        <v>1200</v>
      </c>
      <c r="G34" s="6" t="n">
        <v>45</v>
      </c>
      <c r="H34" s="14" t="n">
        <v>0.05</v>
      </c>
      <c r="I34" s="15">
        <f>IF(OR($A34="",$H34="",$G34=""),"",$H34*$G34/7*1.5)</f>
        <v/>
      </c>
      <c r="J34" s="6" t="n">
        <v>1</v>
      </c>
      <c r="K34" s="4" t="inlineStr">
        <is>
          <t>Main branch</t>
        </is>
      </c>
    </row>
    <row r="35">
      <c r="A35" s="4" t="inlineStr">
        <is>
          <t>INV-033</t>
        </is>
      </c>
      <c r="B35" s="4" t="inlineStr">
        <is>
          <t>TENS electrodes</t>
        </is>
      </c>
      <c r="C35" s="4" t="inlineStr">
        <is>
          <t>Device part</t>
        </is>
      </c>
      <c r="D35" s="4" t="inlineStr">
        <is>
          <t>pack</t>
        </is>
      </c>
      <c r="E35" s="4" t="inlineStr">
        <is>
          <t>United Medical Co.</t>
        </is>
      </c>
      <c r="F35" s="13" t="n">
        <v>35</v>
      </c>
      <c r="G35" s="6" t="n">
        <v>14</v>
      </c>
      <c r="H35" s="14" t="n">
        <v>2</v>
      </c>
      <c r="I35" s="15">
        <f>IF(OR($A35="",$H35="",$G35=""),"",$H35*$G35/7*1.5)</f>
        <v/>
      </c>
      <c r="J35" s="6" t="n">
        <v>8</v>
      </c>
      <c r="K35" s="4" t="inlineStr">
        <is>
          <t>Main branch</t>
        </is>
      </c>
    </row>
    <row r="36">
      <c r="A36" s="4" t="inlineStr">
        <is>
          <t>INV-034</t>
        </is>
      </c>
      <c r="B36" s="4" t="inlineStr">
        <is>
          <t>Ultrasound probe covers</t>
        </is>
      </c>
      <c r="C36" s="4" t="inlineStr">
        <is>
          <t>Device part</t>
        </is>
      </c>
      <c r="D36" s="4" t="inlineStr">
        <is>
          <t>box</t>
        </is>
      </c>
      <c r="E36" s="4" t="inlineStr">
        <is>
          <t>United Medical Co.</t>
        </is>
      </c>
      <c r="F36" s="13" t="n">
        <v>140</v>
      </c>
      <c r="G36" s="6" t="n">
        <v>14</v>
      </c>
      <c r="H36" s="14" t="n">
        <v>0.5</v>
      </c>
      <c r="I36" s="15">
        <f>IF(OR($A36="",$H36="",$G36=""),"",$H36*$G36/7*1.5)</f>
        <v/>
      </c>
      <c r="J36" s="6" t="n">
        <v>2</v>
      </c>
      <c r="K36" s="4" t="inlineStr">
        <is>
          <t>Main branch</t>
        </is>
      </c>
    </row>
    <row r="37">
      <c r="A37" s="4" t="inlineStr">
        <is>
          <t>INV-035</t>
        </is>
      </c>
      <c r="B37" s="4" t="inlineStr">
        <is>
          <t>Autoclave door gasket</t>
        </is>
      </c>
      <c r="C37" s="4" t="inlineStr">
        <is>
          <t>Device part</t>
        </is>
      </c>
      <c r="D37" s="4" t="inlineStr">
        <is>
          <t>piece</t>
        </is>
      </c>
      <c r="E37" s="4" t="inlineStr">
        <is>
          <t>United Medical Co.</t>
        </is>
      </c>
      <c r="F37" s="13" t="n">
        <v>260</v>
      </c>
      <c r="G37" s="6" t="n">
        <v>30</v>
      </c>
      <c r="H37" s="14" t="n">
        <v>0.05</v>
      </c>
      <c r="I37" s="15">
        <f>IF(OR($A37="",$H37="",$G37=""),"",$H37*$G37/7*1.5)</f>
        <v/>
      </c>
      <c r="J37" s="6" t="n">
        <v>1</v>
      </c>
      <c r="K37" s="4" t="inlineStr">
        <is>
          <t>Main branch</t>
        </is>
      </c>
    </row>
    <row r="38">
      <c r="A38" s="4" t="inlineStr">
        <is>
          <t>INV-036</t>
        </is>
      </c>
      <c r="B38" s="4" t="inlineStr">
        <is>
          <t>ECG electrodes</t>
        </is>
      </c>
      <c r="C38" s="4" t="inlineStr">
        <is>
          <t>Device part</t>
        </is>
      </c>
      <c r="D38" s="4" t="inlineStr">
        <is>
          <t>pack</t>
        </is>
      </c>
      <c r="E38" s="4" t="inlineStr">
        <is>
          <t>United Medical Co.</t>
        </is>
      </c>
      <c r="F38" s="13" t="n">
        <v>30</v>
      </c>
      <c r="G38" s="6" t="n">
        <v>14</v>
      </c>
      <c r="H38" s="14" t="n">
        <v>1</v>
      </c>
      <c r="I38" s="15">
        <f>IF(OR($A38="",$H38="",$G38=""),"",$H38*$G38/7*1.5)</f>
        <v/>
      </c>
      <c r="J38" s="6" t="n">
        <v>4</v>
      </c>
      <c r="K38" s="4" t="inlineStr">
        <is>
          <t>Main branch</t>
        </is>
      </c>
    </row>
    <row r="39">
      <c r="A39" s="4" t="inlineStr">
        <is>
          <t>INV-037</t>
        </is>
      </c>
      <c r="B39" s="4" t="inlineStr">
        <is>
          <t>A4 paper</t>
        </is>
      </c>
      <c r="C39" s="4" t="inlineStr">
        <is>
          <t>Office</t>
        </is>
      </c>
      <c r="D39" s="4" t="inlineStr">
        <is>
          <t>ream</t>
        </is>
      </c>
      <c r="E39" s="4" t="inlineStr">
        <is>
          <t>Business Stationers</t>
        </is>
      </c>
      <c r="F39" s="13" t="n">
        <v>22</v>
      </c>
      <c r="G39" s="6" t="n">
        <v>7</v>
      </c>
      <c r="H39" s="14" t="n">
        <v>4</v>
      </c>
      <c r="I39" s="15">
        <f>IF(OR($A39="",$H39="",$G39=""),"",$H39*$G39/7*1.5)</f>
        <v/>
      </c>
      <c r="J39" s="6" t="n">
        <v>16</v>
      </c>
      <c r="K39" s="4" t="inlineStr">
        <is>
          <t>Main branch</t>
        </is>
      </c>
    </row>
    <row r="40">
      <c r="A40" s="4" t="inlineStr">
        <is>
          <t>INV-038</t>
        </is>
      </c>
      <c r="B40" s="4" t="inlineStr">
        <is>
          <t>Thermal printer rolls</t>
        </is>
      </c>
      <c r="C40" s="4" t="inlineStr">
        <is>
          <t>Office</t>
        </is>
      </c>
      <c r="D40" s="4" t="inlineStr">
        <is>
          <t>roll</t>
        </is>
      </c>
      <c r="E40" s="4" t="inlineStr">
        <is>
          <t>Business Stationers</t>
        </is>
      </c>
      <c r="F40" s="13" t="n">
        <v>6</v>
      </c>
      <c r="G40" s="6" t="n">
        <v>7</v>
      </c>
      <c r="H40" s="14" t="n">
        <v>5</v>
      </c>
      <c r="I40" s="15">
        <f>IF(OR($A40="",$H40="",$G40=""),"",$H40*$G40/7*1.5)</f>
        <v/>
      </c>
      <c r="J40" s="6" t="n">
        <v>20</v>
      </c>
      <c r="K40" s="4" t="inlineStr">
        <is>
          <t>Main branch</t>
        </is>
      </c>
    </row>
    <row r="41">
      <c r="A41" s="4" t="inlineStr">
        <is>
          <t>INV-039</t>
        </is>
      </c>
      <c r="B41" s="4" t="inlineStr">
        <is>
          <t>Printer toner</t>
        </is>
      </c>
      <c r="C41" s="4" t="inlineStr">
        <is>
          <t>Office</t>
        </is>
      </c>
      <c r="D41" s="4" t="inlineStr">
        <is>
          <t>piece</t>
        </is>
      </c>
      <c r="E41" s="4" t="inlineStr">
        <is>
          <t>Business Stationers</t>
        </is>
      </c>
      <c r="F41" s="13" t="n">
        <v>320</v>
      </c>
      <c r="G41" s="6" t="n">
        <v>14</v>
      </c>
      <c r="H41" s="14" t="n">
        <v>0.25</v>
      </c>
      <c r="I41" s="15">
        <f>IF(OR($A41="",$H41="",$G41=""),"",$H41*$G41/7*1.5)</f>
        <v/>
      </c>
      <c r="J41" s="6" t="n">
        <v>2</v>
      </c>
      <c r="K41" s="4" t="inlineStr">
        <is>
          <t>Main branch</t>
        </is>
      </c>
    </row>
    <row r="42">
      <c r="A42" s="4" t="inlineStr">
        <is>
          <t>INV-040</t>
        </is>
      </c>
      <c r="B42" s="4" t="inlineStr">
        <is>
          <t>Appointment cards</t>
        </is>
      </c>
      <c r="C42" s="4" t="inlineStr">
        <is>
          <t>Office</t>
        </is>
      </c>
      <c r="D42" s="4" t="inlineStr">
        <is>
          <t>pack</t>
        </is>
      </c>
      <c r="E42" s="4" t="inlineStr">
        <is>
          <t>Business Stationers</t>
        </is>
      </c>
      <c r="F42" s="13" t="n">
        <v>30</v>
      </c>
      <c r="G42" s="6" t="n">
        <v>14</v>
      </c>
      <c r="H42" s="14" t="n">
        <v>1</v>
      </c>
      <c r="I42" s="15">
        <f>IF(OR($A42="",$H42="",$G42=""),"",$H42*$G42/7*1.5)</f>
        <v/>
      </c>
      <c r="J42" s="6" t="n">
        <v>4</v>
      </c>
      <c r="K42" s="4" t="inlineStr">
        <is>
          <t>Main branch</t>
        </is>
      </c>
    </row>
    <row r="43">
      <c r="A43" s="4" t="inlineStr">
        <is>
          <t>INV-041</t>
        </is>
      </c>
      <c r="B43" s="4" t="inlineStr">
        <is>
          <t>Patient file folders</t>
        </is>
      </c>
      <c r="C43" s="4" t="inlineStr">
        <is>
          <t>Office</t>
        </is>
      </c>
      <c r="D43" s="4" t="inlineStr">
        <is>
          <t>pack</t>
        </is>
      </c>
      <c r="E43" s="4" t="inlineStr">
        <is>
          <t>Business Stationers</t>
        </is>
      </c>
      <c r="F43" s="13" t="n">
        <v>45</v>
      </c>
      <c r="G43" s="6" t="n">
        <v>14</v>
      </c>
      <c r="H43" s="14" t="n">
        <v>0.5</v>
      </c>
      <c r="I43" s="15">
        <f>IF(OR($A43="",$H43="",$G43=""),"",$H43*$G43/7*1.5)</f>
        <v/>
      </c>
      <c r="J43" s="6" t="n">
        <v>2</v>
      </c>
      <c r="K43" s="4" t="inlineStr">
        <is>
          <t>Main branch</t>
        </is>
      </c>
    </row>
    <row r="44">
      <c r="A44" s="4" t="inlineStr">
        <is>
          <t>INV-042</t>
        </is>
      </c>
      <c r="B44" s="4" t="inlineStr">
        <is>
          <t>Pens</t>
        </is>
      </c>
      <c r="C44" s="4" t="inlineStr">
        <is>
          <t>Office</t>
        </is>
      </c>
      <c r="D44" s="4" t="inlineStr">
        <is>
          <t>box</t>
        </is>
      </c>
      <c r="E44" s="4" t="inlineStr">
        <is>
          <t>Business Stationers</t>
        </is>
      </c>
      <c r="F44" s="13" t="n">
        <v>25</v>
      </c>
      <c r="G44" s="6" t="n">
        <v>7</v>
      </c>
      <c r="H44" s="14" t="n">
        <v>0.5</v>
      </c>
      <c r="I44" s="15">
        <f>IF(OR($A44="",$H44="",$G44=""),"",$H44*$G44/7*1.5)</f>
        <v/>
      </c>
      <c r="J44" s="6" t="n">
        <v>2</v>
      </c>
      <c r="K44" s="4" t="inlineStr">
        <is>
          <t>Main branch</t>
        </is>
      </c>
    </row>
    <row r="45">
      <c r="A45" s="4" t="inlineStr">
        <is>
          <t>INV-043</t>
        </is>
      </c>
      <c r="B45" s="4" t="inlineStr">
        <is>
          <t>Microneedling cartridges</t>
        </is>
      </c>
      <c r="C45" s="4" t="inlineStr">
        <is>
          <t>Consumable</t>
        </is>
      </c>
      <c r="D45" s="4" t="inlineStr">
        <is>
          <t>box</t>
        </is>
      </c>
      <c r="E45" s="4" t="inlineStr">
        <is>
          <t>Aesthetic Supplies Co.</t>
        </is>
      </c>
      <c r="F45" s="13" t="n">
        <v>180</v>
      </c>
      <c r="G45" s="6" t="n">
        <v>14</v>
      </c>
      <c r="H45" s="14" t="n">
        <v>1.5</v>
      </c>
      <c r="I45" s="15">
        <f>IF(OR($A45="",$H45="",$G45=""),"",$H45*$G45/7*1.5)</f>
        <v/>
      </c>
      <c r="J45" s="6" t="n">
        <v>6</v>
      </c>
      <c r="K45" s="4" t="inlineStr">
        <is>
          <t>Main branch</t>
        </is>
      </c>
    </row>
    <row r="46">
      <c r="A46" s="4" t="inlineStr">
        <is>
          <t>INV-044</t>
        </is>
      </c>
      <c r="B46" s="4" t="inlineStr">
        <is>
          <t>Glycolic peel solution 30%</t>
        </is>
      </c>
      <c r="C46" s="4" t="inlineStr">
        <is>
          <t>Medicine</t>
        </is>
      </c>
      <c r="D46" s="4" t="inlineStr">
        <is>
          <t>bottle</t>
        </is>
      </c>
      <c r="E46" s="4" t="inlineStr">
        <is>
          <t>Aesthetic Supplies Co.</t>
        </is>
      </c>
      <c r="F46" s="13" t="n">
        <v>210</v>
      </c>
      <c r="G46" s="6" t="n">
        <v>21</v>
      </c>
      <c r="H46" s="14" t="n">
        <v>0.5</v>
      </c>
      <c r="I46" s="15">
        <f>IF(OR($A46="",$H46="",$G46=""),"",$H46*$G46/7*1.5)</f>
        <v/>
      </c>
      <c r="J46" s="6" t="n">
        <v>2</v>
      </c>
      <c r="K46" s="4" t="inlineStr">
        <is>
          <t>Main branch</t>
        </is>
      </c>
    </row>
    <row r="47">
      <c r="A47" s="4" t="inlineStr">
        <is>
          <t>INV-045</t>
        </is>
      </c>
      <c r="B47" s="4" t="inlineStr">
        <is>
          <t>Cold packs</t>
        </is>
      </c>
      <c r="C47" s="4" t="inlineStr">
        <is>
          <t>Consumable</t>
        </is>
      </c>
      <c r="D47" s="4" t="inlineStr">
        <is>
          <t>piece</t>
        </is>
      </c>
      <c r="E47" s="4" t="inlineStr">
        <is>
          <t>United Medical Co.</t>
        </is>
      </c>
      <c r="F47" s="13" t="n">
        <v>12</v>
      </c>
      <c r="G47" s="6" t="n">
        <v>7</v>
      </c>
      <c r="H47" s="14" t="n">
        <v>2</v>
      </c>
      <c r="I47" s="15">
        <f>IF(OR($A47="",$H47="",$G47=""),"",$H47*$G47/7*1.5)</f>
        <v/>
      </c>
      <c r="J47" s="6" t="n">
        <v>8</v>
      </c>
      <c r="K47" s="4" t="inlineStr">
        <is>
          <t>Main branch</t>
        </is>
      </c>
    </row>
    <row r="48">
      <c r="A48" s="4" t="inlineStr">
        <is>
          <t>INV-001</t>
        </is>
      </c>
      <c r="B48" s="4" t="inlineStr">
        <is>
          <t>Nitrile gloves, M</t>
        </is>
      </c>
      <c r="C48" s="4" t="inlineStr">
        <is>
          <t>Consumable</t>
        </is>
      </c>
      <c r="D48" s="4" t="inlineStr">
        <is>
          <t>box</t>
        </is>
      </c>
      <c r="E48" s="4" t="inlineStr">
        <is>
          <t>United Medical Co.</t>
        </is>
      </c>
      <c r="F48" s="13" t="n">
        <v>28</v>
      </c>
      <c r="G48" s="6" t="n">
        <v>7</v>
      </c>
      <c r="H48" s="14" t="n">
        <v>3</v>
      </c>
      <c r="I48" s="15">
        <f>IF(OR($A48="",$H48="",$G48=""),"",$H48*$G48/7*1.5)</f>
        <v/>
      </c>
      <c r="J48" s="6" t="n">
        <v>12</v>
      </c>
      <c r="K48" s="4" t="inlineStr">
        <is>
          <t>North branch</t>
        </is>
      </c>
    </row>
    <row r="49">
      <c r="A49" s="4" t="inlineStr">
        <is>
          <t>INV-003</t>
        </is>
      </c>
      <c r="B49" s="4" t="inlineStr">
        <is>
          <t>Face masks</t>
        </is>
      </c>
      <c r="C49" s="4" t="inlineStr">
        <is>
          <t>Consumable</t>
        </is>
      </c>
      <c r="D49" s="4" t="inlineStr">
        <is>
          <t>box</t>
        </is>
      </c>
      <c r="E49" s="4" t="inlineStr">
        <is>
          <t>United Medical Co.</t>
        </is>
      </c>
      <c r="F49" s="13" t="n">
        <v>15</v>
      </c>
      <c r="G49" s="6" t="n">
        <v>7</v>
      </c>
      <c r="H49" s="14" t="n">
        <v>3</v>
      </c>
      <c r="I49" s="15">
        <f>IF(OR($A49="",$H49="",$G49=""),"",$H49*$G49/7*1.5)</f>
        <v/>
      </c>
      <c r="J49" s="6" t="n">
        <v>12</v>
      </c>
      <c r="K49" s="4" t="inlineStr">
        <is>
          <t>North branch</t>
        </is>
      </c>
    </row>
    <row r="50">
      <c r="A50" s="4" t="inlineStr">
        <is>
          <t>INV-004</t>
        </is>
      </c>
      <c r="B50" s="4" t="inlineStr">
        <is>
          <t>Gauze swabs 10×10</t>
        </is>
      </c>
      <c r="C50" s="4" t="inlineStr">
        <is>
          <t>Consumable</t>
        </is>
      </c>
      <c r="D50" s="4" t="inlineStr">
        <is>
          <t>pack</t>
        </is>
      </c>
      <c r="E50" s="4" t="inlineStr">
        <is>
          <t>United Medical Co.</t>
        </is>
      </c>
      <c r="F50" s="13" t="n">
        <v>12</v>
      </c>
      <c r="G50" s="6" t="n">
        <v>7</v>
      </c>
      <c r="H50" s="14" t="n">
        <v>3</v>
      </c>
      <c r="I50" s="15">
        <f>IF(OR($A50="",$H50="",$G50=""),"",$H50*$G50/7*1.5)</f>
        <v/>
      </c>
      <c r="J50" s="6" t="n">
        <v>12</v>
      </c>
      <c r="K50" s="4" t="inlineStr">
        <is>
          <t>North branch</t>
        </is>
      </c>
    </row>
    <row r="51">
      <c r="A51" s="4" t="inlineStr">
        <is>
          <t>INV-010</t>
        </is>
      </c>
      <c r="B51" s="4" t="inlineStr">
        <is>
          <t>Laser gel 5 L</t>
        </is>
      </c>
      <c r="C51" s="4" t="inlineStr">
        <is>
          <t>Consumable</t>
        </is>
      </c>
      <c r="D51" s="4" t="inlineStr">
        <is>
          <t>can</t>
        </is>
      </c>
      <c r="E51" s="4" t="inlineStr">
        <is>
          <t>Gulf Laser Co.</t>
        </is>
      </c>
      <c r="F51" s="13" t="n">
        <v>95</v>
      </c>
      <c r="G51" s="6" t="n">
        <v>14</v>
      </c>
      <c r="H51" s="14" t="n">
        <v>1</v>
      </c>
      <c r="I51" s="15">
        <f>IF(OR($A51="",$H51="",$G51=""),"",$H51*$G51/7*1.5)</f>
        <v/>
      </c>
      <c r="J51" s="6" t="n">
        <v>4</v>
      </c>
      <c r="K51" s="4" t="inlineStr">
        <is>
          <t>North branch</t>
        </is>
      </c>
    </row>
    <row r="52">
      <c r="A52" s="4" t="inlineStr">
        <is>
          <t>INV-011</t>
        </is>
      </c>
      <c r="B52" s="4" t="inlineStr">
        <is>
          <t>Ultrasound gel 250 ml</t>
        </is>
      </c>
      <c r="C52" s="4" t="inlineStr">
        <is>
          <t>Consumable</t>
        </is>
      </c>
      <c r="D52" s="4" t="inlineStr">
        <is>
          <t>bottle</t>
        </is>
      </c>
      <c r="E52" s="4" t="inlineStr">
        <is>
          <t>United Medical Co.</t>
        </is>
      </c>
      <c r="F52" s="13" t="n">
        <v>9</v>
      </c>
      <c r="G52" s="6" t="n">
        <v>7</v>
      </c>
      <c r="H52" s="14" t="n">
        <v>3</v>
      </c>
      <c r="I52" s="15">
        <f>IF(OR($A52="",$H52="",$G52=""),"",$H52*$G52/7*1.5)</f>
        <v/>
      </c>
      <c r="J52" s="6" t="n">
        <v>12</v>
      </c>
      <c r="K52" s="4" t="inlineStr">
        <is>
          <t>North branch</t>
        </is>
      </c>
    </row>
    <row r="53">
      <c r="A53" s="4" t="inlineStr">
        <is>
          <t>INV-012</t>
        </is>
      </c>
      <c r="B53" s="4" t="inlineStr">
        <is>
          <t>Couch roll</t>
        </is>
      </c>
      <c r="C53" s="4" t="inlineStr">
        <is>
          <t>Consumable</t>
        </is>
      </c>
      <c r="D53" s="4" t="inlineStr">
        <is>
          <t>roll</t>
        </is>
      </c>
      <c r="E53" s="4" t="inlineStr">
        <is>
          <t>United Medical Co.</t>
        </is>
      </c>
      <c r="F53" s="13" t="n">
        <v>22</v>
      </c>
      <c r="G53" s="6" t="n">
        <v>7</v>
      </c>
      <c r="H53" s="14" t="n">
        <v>3</v>
      </c>
      <c r="I53" s="15">
        <f>IF(OR($A53="",$H53="",$G53=""),"",$H53*$G53/7*1.5)</f>
        <v/>
      </c>
      <c r="J53" s="6" t="n">
        <v>12</v>
      </c>
      <c r="K53" s="4" t="inlineStr">
        <is>
          <t>North branch</t>
        </is>
      </c>
    </row>
    <row r="54">
      <c r="A54" s="4" t="inlineStr">
        <is>
          <t>INV-017</t>
        </is>
      </c>
      <c r="B54" s="4" t="inlineStr">
        <is>
          <t>Hand sanitiser 500 ml</t>
        </is>
      </c>
      <c r="C54" s="4" t="inlineStr">
        <is>
          <t>Consumable</t>
        </is>
      </c>
      <c r="D54" s="4" t="inlineStr">
        <is>
          <t>bottle</t>
        </is>
      </c>
      <c r="E54" s="4" t="inlineStr">
        <is>
          <t>United Medical Co.</t>
        </is>
      </c>
      <c r="F54" s="13" t="n">
        <v>14</v>
      </c>
      <c r="G54" s="6" t="n">
        <v>7</v>
      </c>
      <c r="H54" s="14" t="n">
        <v>3</v>
      </c>
      <c r="I54" s="15">
        <f>IF(OR($A54="",$H54="",$G54=""),"",$H54*$G54/7*1.5)</f>
        <v/>
      </c>
      <c r="J54" s="6" t="n">
        <v>12</v>
      </c>
      <c r="K54" s="4" t="inlineStr">
        <is>
          <t>North branch</t>
        </is>
      </c>
    </row>
    <row r="55">
      <c r="A55" s="4" t="inlineStr">
        <is>
          <t>INV-033</t>
        </is>
      </c>
      <c r="B55" s="4" t="inlineStr">
        <is>
          <t>TENS electrodes</t>
        </is>
      </c>
      <c r="C55" s="4" t="inlineStr">
        <is>
          <t>Device part</t>
        </is>
      </c>
      <c r="D55" s="4" t="inlineStr">
        <is>
          <t>pack</t>
        </is>
      </c>
      <c r="E55" s="4" t="inlineStr">
        <is>
          <t>United Medical Co.</t>
        </is>
      </c>
      <c r="F55" s="13" t="n">
        <v>35</v>
      </c>
      <c r="G55" s="6" t="n">
        <v>14</v>
      </c>
      <c r="H55" s="14" t="n">
        <v>2</v>
      </c>
      <c r="I55" s="15">
        <f>IF(OR($A55="",$H55="",$G55=""),"",$H55*$G55/7*1.5)</f>
        <v/>
      </c>
      <c r="J55" s="6" t="n">
        <v>8</v>
      </c>
      <c r="K55" s="4" t="inlineStr">
        <is>
          <t>North branch</t>
        </is>
      </c>
    </row>
    <row r="56">
      <c r="A56" s="4" t="n"/>
      <c r="B56" s="4" t="n"/>
      <c r="C56" s="4" t="n"/>
      <c r="D56" s="4" t="n"/>
      <c r="E56" s="4" t="n"/>
      <c r="F56" s="13" t="n"/>
      <c r="G56" s="6" t="n"/>
      <c r="H56" s="14" t="n"/>
      <c r="I56" s="15">
        <f>IF(OR($A56="",$H56="",$G56=""),"",$H56*$G56/7*1.5)</f>
        <v/>
      </c>
      <c r="J56" s="6" t="n"/>
      <c r="K56" s="4" t="n"/>
    </row>
    <row r="57">
      <c r="A57" s="4" t="n"/>
      <c r="B57" s="4" t="n"/>
      <c r="C57" s="4" t="n"/>
      <c r="D57" s="4" t="n"/>
      <c r="E57" s="4" t="n"/>
      <c r="F57" s="13" t="n"/>
      <c r="G57" s="6" t="n"/>
      <c r="H57" s="14" t="n"/>
      <c r="I57" s="15">
        <f>IF(OR($A57="",$H57="",$G57=""),"",$H57*$G57/7*1.5)</f>
        <v/>
      </c>
      <c r="J57" s="6" t="n"/>
      <c r="K57" s="4" t="n"/>
    </row>
    <row r="58">
      <c r="A58" s="4" t="n"/>
      <c r="B58" s="4" t="n"/>
      <c r="C58" s="4" t="n"/>
      <c r="D58" s="4" t="n"/>
      <c r="E58" s="4" t="n"/>
      <c r="F58" s="13" t="n"/>
      <c r="G58" s="6" t="n"/>
      <c r="H58" s="14" t="n"/>
      <c r="I58" s="15">
        <f>IF(OR($A58="",$H58="",$G58=""),"",$H58*$G58/7*1.5)</f>
        <v/>
      </c>
      <c r="J58" s="6" t="n"/>
      <c r="K58" s="4" t="n"/>
    </row>
    <row r="59">
      <c r="A59" s="4" t="n"/>
      <c r="B59" s="4" t="n"/>
      <c r="C59" s="4" t="n"/>
      <c r="D59" s="4" t="n"/>
      <c r="E59" s="4" t="n"/>
      <c r="F59" s="13" t="n"/>
      <c r="G59" s="6" t="n"/>
      <c r="H59" s="14" t="n"/>
      <c r="I59" s="15">
        <f>IF(OR($A59="",$H59="",$G59=""),"",$H59*$G59/7*1.5)</f>
        <v/>
      </c>
      <c r="J59" s="6" t="n"/>
      <c r="K59" s="4" t="n"/>
    </row>
    <row r="60">
      <c r="A60" s="4" t="n"/>
      <c r="B60" s="4" t="n"/>
      <c r="C60" s="4" t="n"/>
      <c r="D60" s="4" t="n"/>
      <c r="E60" s="4" t="n"/>
      <c r="F60" s="13" t="n"/>
      <c r="G60" s="6" t="n"/>
      <c r="H60" s="14" t="n"/>
      <c r="I60" s="15">
        <f>IF(OR($A60="",$H60="",$G60=""),"",$H60*$G60/7*1.5)</f>
        <v/>
      </c>
      <c r="J60" s="6" t="n"/>
      <c r="K60" s="4" t="n"/>
    </row>
    <row r="61">
      <c r="A61" s="4" t="n"/>
      <c r="B61" s="4" t="n"/>
      <c r="C61" s="4" t="n"/>
      <c r="D61" s="4" t="n"/>
      <c r="E61" s="4" t="n"/>
      <c r="F61" s="13" t="n"/>
      <c r="G61" s="6" t="n"/>
      <c r="H61" s="14" t="n"/>
      <c r="I61" s="15">
        <f>IF(OR($A61="",$H61="",$G61=""),"",$H61*$G61/7*1.5)</f>
        <v/>
      </c>
      <c r="J61" s="6" t="n"/>
      <c r="K61" s="4" t="n"/>
    </row>
    <row r="62">
      <c r="A62" s="4" t="n"/>
      <c r="B62" s="4" t="n"/>
      <c r="C62" s="4" t="n"/>
      <c r="D62" s="4" t="n"/>
      <c r="E62" s="4" t="n"/>
      <c r="F62" s="13" t="n"/>
      <c r="G62" s="6" t="n"/>
      <c r="H62" s="14" t="n"/>
      <c r="I62" s="15">
        <f>IF(OR($A62="",$H62="",$G62=""),"",$H62*$G62/7*1.5)</f>
        <v/>
      </c>
      <c r="J62" s="6" t="n"/>
      <c r="K62" s="4" t="n"/>
    </row>
    <row r="63">
      <c r="A63" s="4" t="n"/>
      <c r="B63" s="4" t="n"/>
      <c r="C63" s="4" t="n"/>
      <c r="D63" s="4" t="n"/>
      <c r="E63" s="4" t="n"/>
      <c r="F63" s="13" t="n"/>
      <c r="G63" s="6" t="n"/>
      <c r="H63" s="14" t="n"/>
      <c r="I63" s="15">
        <f>IF(OR($A63="",$H63="",$G63=""),"",$H63*$G63/7*1.5)</f>
        <v/>
      </c>
      <c r="J63" s="6" t="n"/>
      <c r="K63" s="4" t="n"/>
    </row>
    <row r="64">
      <c r="A64" s="4" t="n"/>
      <c r="B64" s="4" t="n"/>
      <c r="C64" s="4" t="n"/>
      <c r="D64" s="4" t="n"/>
      <c r="E64" s="4" t="n"/>
      <c r="F64" s="13" t="n"/>
      <c r="G64" s="6" t="n"/>
      <c r="H64" s="14" t="n"/>
      <c r="I64" s="15">
        <f>IF(OR($A64="",$H64="",$G64=""),"",$H64*$G64/7*1.5)</f>
        <v/>
      </c>
      <c r="J64" s="6" t="n"/>
      <c r="K64" s="4" t="n"/>
    </row>
    <row r="65">
      <c r="A65" s="4" t="n"/>
      <c r="B65" s="4" t="n"/>
      <c r="C65" s="4" t="n"/>
      <c r="D65" s="4" t="n"/>
      <c r="E65" s="4" t="n"/>
      <c r="F65" s="13" t="n"/>
      <c r="G65" s="6" t="n"/>
      <c r="H65" s="14" t="n"/>
      <c r="I65" s="15">
        <f>IF(OR($A65="",$H65="",$G65=""),"",$H65*$G65/7*1.5)</f>
        <v/>
      </c>
      <c r="J65" s="6" t="n"/>
      <c r="K65" s="4" t="n"/>
    </row>
    <row r="66">
      <c r="A66" s="4" t="n"/>
      <c r="B66" s="4" t="n"/>
      <c r="C66" s="4" t="n"/>
      <c r="D66" s="4" t="n"/>
      <c r="E66" s="4" t="n"/>
      <c r="F66" s="13" t="n"/>
      <c r="G66" s="6" t="n"/>
      <c r="H66" s="14" t="n"/>
      <c r="I66" s="15">
        <f>IF(OR($A66="",$H66="",$G66=""),"",$H66*$G66/7*1.5)</f>
        <v/>
      </c>
      <c r="J66" s="6" t="n"/>
      <c r="K66" s="4" t="n"/>
    </row>
    <row r="67">
      <c r="A67" s="4" t="n"/>
      <c r="B67" s="4" t="n"/>
      <c r="C67" s="4" t="n"/>
      <c r="D67" s="4" t="n"/>
      <c r="E67" s="4" t="n"/>
      <c r="F67" s="13" t="n"/>
      <c r="G67" s="6" t="n"/>
      <c r="H67" s="14" t="n"/>
      <c r="I67" s="15">
        <f>IF(OR($A67="",$H67="",$G67=""),"",$H67*$G67/7*1.5)</f>
        <v/>
      </c>
      <c r="J67" s="6" t="n"/>
      <c r="K67" s="4" t="n"/>
    </row>
    <row r="68">
      <c r="A68" s="4" t="n"/>
      <c r="B68" s="4" t="n"/>
      <c r="C68" s="4" t="n"/>
      <c r="D68" s="4" t="n"/>
      <c r="E68" s="4" t="n"/>
      <c r="F68" s="13" t="n"/>
      <c r="G68" s="6" t="n"/>
      <c r="H68" s="14" t="n"/>
      <c r="I68" s="15">
        <f>IF(OR($A68="",$H68="",$G68=""),"",$H68*$G68/7*1.5)</f>
        <v/>
      </c>
      <c r="J68" s="6" t="n"/>
      <c r="K68" s="4" t="n"/>
    </row>
    <row r="69">
      <c r="A69" s="4" t="n"/>
      <c r="B69" s="4" t="n"/>
      <c r="C69" s="4" t="n"/>
      <c r="D69" s="4" t="n"/>
      <c r="E69" s="4" t="n"/>
      <c r="F69" s="13" t="n"/>
      <c r="G69" s="6" t="n"/>
      <c r="H69" s="14" t="n"/>
      <c r="I69" s="15">
        <f>IF(OR($A69="",$H69="",$G69=""),"",$H69*$G69/7*1.5)</f>
        <v/>
      </c>
      <c r="J69" s="6" t="n"/>
      <c r="K69" s="4" t="n"/>
    </row>
    <row r="70">
      <c r="A70" s="4" t="n"/>
      <c r="B70" s="4" t="n"/>
      <c r="C70" s="4" t="n"/>
      <c r="D70" s="4" t="n"/>
      <c r="E70" s="4" t="n"/>
      <c r="F70" s="13" t="n"/>
      <c r="G70" s="6" t="n"/>
      <c r="H70" s="14" t="n"/>
      <c r="I70" s="15">
        <f>IF(OR($A70="",$H70="",$G70=""),"",$H70*$G70/7*1.5)</f>
        <v/>
      </c>
      <c r="J70" s="6" t="n"/>
      <c r="K70" s="4" t="n"/>
    </row>
    <row r="71">
      <c r="A71" s="4" t="n"/>
      <c r="B71" s="4" t="n"/>
      <c r="C71" s="4" t="n"/>
      <c r="D71" s="4" t="n"/>
      <c r="E71" s="4" t="n"/>
      <c r="F71" s="13" t="n"/>
      <c r="G71" s="6" t="n"/>
      <c r="H71" s="14" t="n"/>
      <c r="I71" s="15">
        <f>IF(OR($A71="",$H71="",$G71=""),"",$H71*$G71/7*1.5)</f>
        <v/>
      </c>
      <c r="J71" s="6" t="n"/>
      <c r="K71" s="4" t="n"/>
    </row>
    <row r="72">
      <c r="A72" s="4" t="n"/>
      <c r="B72" s="4" t="n"/>
      <c r="C72" s="4" t="n"/>
      <c r="D72" s="4" t="n"/>
      <c r="E72" s="4" t="n"/>
      <c r="F72" s="13" t="n"/>
      <c r="G72" s="6" t="n"/>
      <c r="H72" s="14" t="n"/>
      <c r="I72" s="15">
        <f>IF(OR($A72="",$H72="",$G72=""),"",$H72*$G72/7*1.5)</f>
        <v/>
      </c>
      <c r="J72" s="6" t="n"/>
      <c r="K72" s="4" t="n"/>
    </row>
    <row r="73">
      <c r="A73" s="4" t="n"/>
      <c r="B73" s="4" t="n"/>
      <c r="C73" s="4" t="n"/>
      <c r="D73" s="4" t="n"/>
      <c r="E73" s="4" t="n"/>
      <c r="F73" s="13" t="n"/>
      <c r="G73" s="6" t="n"/>
      <c r="H73" s="14" t="n"/>
      <c r="I73" s="15">
        <f>IF(OR($A73="",$H73="",$G73=""),"",$H73*$G73/7*1.5)</f>
        <v/>
      </c>
      <c r="J73" s="6" t="n"/>
      <c r="K73" s="4" t="n"/>
    </row>
    <row r="74">
      <c r="A74" s="4" t="n"/>
      <c r="B74" s="4" t="n"/>
      <c r="C74" s="4" t="n"/>
      <c r="D74" s="4" t="n"/>
      <c r="E74" s="4" t="n"/>
      <c r="F74" s="13" t="n"/>
      <c r="G74" s="6" t="n"/>
      <c r="H74" s="14" t="n"/>
      <c r="I74" s="15">
        <f>IF(OR($A74="",$H74="",$G74=""),"",$H74*$G74/7*1.5)</f>
        <v/>
      </c>
      <c r="J74" s="6" t="n"/>
      <c r="K74" s="4" t="n"/>
    </row>
    <row r="75">
      <c r="A75" s="4" t="n"/>
      <c r="B75" s="4" t="n"/>
      <c r="C75" s="4" t="n"/>
      <c r="D75" s="4" t="n"/>
      <c r="E75" s="4" t="n"/>
      <c r="F75" s="13" t="n"/>
      <c r="G75" s="6" t="n"/>
      <c r="H75" s="14" t="n"/>
      <c r="I75" s="15">
        <f>IF(OR($A75="",$H75="",$G75=""),"",$H75*$G75/7*1.5)</f>
        <v/>
      </c>
      <c r="J75" s="6" t="n"/>
      <c r="K75" s="4" t="n"/>
    </row>
    <row r="76">
      <c r="A76" s="4" t="n"/>
      <c r="B76" s="4" t="n"/>
      <c r="C76" s="4" t="n"/>
      <c r="D76" s="4" t="n"/>
      <c r="E76" s="4" t="n"/>
      <c r="F76" s="13" t="n"/>
      <c r="G76" s="6" t="n"/>
      <c r="H76" s="14" t="n"/>
      <c r="I76" s="15">
        <f>IF(OR($A76="",$H76="",$G76=""),"",$H76*$G76/7*1.5)</f>
        <v/>
      </c>
      <c r="J76" s="6" t="n"/>
      <c r="K76" s="4" t="n"/>
    </row>
    <row r="77">
      <c r="A77" s="4" t="n"/>
      <c r="B77" s="4" t="n"/>
      <c r="C77" s="4" t="n"/>
      <c r="D77" s="4" t="n"/>
      <c r="E77" s="4" t="n"/>
      <c r="F77" s="13" t="n"/>
      <c r="G77" s="6" t="n"/>
      <c r="H77" s="14" t="n"/>
      <c r="I77" s="15">
        <f>IF(OR($A77="",$H77="",$G77=""),"",$H77*$G77/7*1.5)</f>
        <v/>
      </c>
      <c r="J77" s="6" t="n"/>
      <c r="K77" s="4" t="n"/>
    </row>
    <row r="78">
      <c r="A78" s="4" t="n"/>
      <c r="B78" s="4" t="n"/>
      <c r="C78" s="4" t="n"/>
      <c r="D78" s="4" t="n"/>
      <c r="E78" s="4" t="n"/>
      <c r="F78" s="13" t="n"/>
      <c r="G78" s="6" t="n"/>
      <c r="H78" s="14" t="n"/>
      <c r="I78" s="15">
        <f>IF(OR($A78="",$H78="",$G78=""),"",$H78*$G78/7*1.5)</f>
        <v/>
      </c>
      <c r="J78" s="6" t="n"/>
      <c r="K78" s="4" t="n"/>
    </row>
    <row r="79">
      <c r="A79" s="4" t="n"/>
      <c r="B79" s="4" t="n"/>
      <c r="C79" s="4" t="n"/>
      <c r="D79" s="4" t="n"/>
      <c r="E79" s="4" t="n"/>
      <c r="F79" s="13" t="n"/>
      <c r="G79" s="6" t="n"/>
      <c r="H79" s="14" t="n"/>
      <c r="I79" s="15">
        <f>IF(OR($A79="",$H79="",$G79=""),"",$H79*$G79/7*1.5)</f>
        <v/>
      </c>
      <c r="J79" s="6" t="n"/>
      <c r="K79" s="4" t="n"/>
    </row>
    <row r="80">
      <c r="A80" s="4" t="n"/>
      <c r="B80" s="4" t="n"/>
      <c r="C80" s="4" t="n"/>
      <c r="D80" s="4" t="n"/>
      <c r="E80" s="4" t="n"/>
      <c r="F80" s="13" t="n"/>
      <c r="G80" s="6" t="n"/>
      <c r="H80" s="14" t="n"/>
      <c r="I80" s="15">
        <f>IF(OR($A80="",$H80="",$G80=""),"",$H80*$G80/7*1.5)</f>
        <v/>
      </c>
      <c r="J80" s="6" t="n"/>
      <c r="K80" s="4" t="n"/>
    </row>
    <row r="81">
      <c r="A81" s="4" t="n"/>
      <c r="B81" s="4" t="n"/>
      <c r="C81" s="4" t="n"/>
      <c r="D81" s="4" t="n"/>
      <c r="E81" s="4" t="n"/>
      <c r="F81" s="13" t="n"/>
      <c r="G81" s="6" t="n"/>
      <c r="H81" s="14" t="n"/>
      <c r="I81" s="15">
        <f>IF(OR($A81="",$H81="",$G81=""),"",$H81*$G81/7*1.5)</f>
        <v/>
      </c>
      <c r="J81" s="6" t="n"/>
      <c r="K81" s="4" t="n"/>
    </row>
    <row r="82">
      <c r="A82" s="4" t="n"/>
      <c r="B82" s="4" t="n"/>
      <c r="C82" s="4" t="n"/>
      <c r="D82" s="4" t="n"/>
      <c r="E82" s="4" t="n"/>
      <c r="F82" s="13" t="n"/>
      <c r="G82" s="6" t="n"/>
      <c r="H82" s="14" t="n"/>
      <c r="I82" s="15">
        <f>IF(OR($A82="",$H82="",$G82=""),"",$H82*$G82/7*1.5)</f>
        <v/>
      </c>
      <c r="J82" s="6" t="n"/>
      <c r="K82" s="4" t="n"/>
    </row>
    <row r="83">
      <c r="A83" s="4" t="n"/>
      <c r="B83" s="4" t="n"/>
      <c r="C83" s="4" t="n"/>
      <c r="D83" s="4" t="n"/>
      <c r="E83" s="4" t="n"/>
      <c r="F83" s="13" t="n"/>
      <c r="G83" s="6" t="n"/>
      <c r="H83" s="14" t="n"/>
      <c r="I83" s="15">
        <f>IF(OR($A83="",$H83="",$G83=""),"",$H83*$G83/7*1.5)</f>
        <v/>
      </c>
      <c r="J83" s="6" t="n"/>
      <c r="K83" s="4" t="n"/>
    </row>
    <row r="84">
      <c r="A84" s="4" t="n"/>
      <c r="B84" s="4" t="n"/>
      <c r="C84" s="4" t="n"/>
      <c r="D84" s="4" t="n"/>
      <c r="E84" s="4" t="n"/>
      <c r="F84" s="13" t="n"/>
      <c r="G84" s="6" t="n"/>
      <c r="H84" s="14" t="n"/>
      <c r="I84" s="15">
        <f>IF(OR($A84="",$H84="",$G84=""),"",$H84*$G84/7*1.5)</f>
        <v/>
      </c>
      <c r="J84" s="6" t="n"/>
      <c r="K84" s="4" t="n"/>
    </row>
    <row r="85">
      <c r="A85" s="4" t="n"/>
      <c r="B85" s="4" t="n"/>
      <c r="C85" s="4" t="n"/>
      <c r="D85" s="4" t="n"/>
      <c r="E85" s="4" t="n"/>
      <c r="F85" s="13" t="n"/>
      <c r="G85" s="6" t="n"/>
      <c r="H85" s="14" t="n"/>
      <c r="I85" s="15">
        <f>IF(OR($A85="",$H85="",$G85=""),"",$H85*$G85/7*1.5)</f>
        <v/>
      </c>
      <c r="J85" s="6" t="n"/>
      <c r="K85" s="4" t="n"/>
    </row>
    <row r="86">
      <c r="A86" s="4" t="n"/>
      <c r="B86" s="4" t="n"/>
      <c r="C86" s="4" t="n"/>
      <c r="D86" s="4" t="n"/>
      <c r="E86" s="4" t="n"/>
      <c r="F86" s="13" t="n"/>
      <c r="G86" s="6" t="n"/>
      <c r="H86" s="14" t="n"/>
      <c r="I86" s="15">
        <f>IF(OR($A86="",$H86="",$G86=""),"",$H86*$G86/7*1.5)</f>
        <v/>
      </c>
      <c r="J86" s="6" t="n"/>
      <c r="K86" s="4" t="n"/>
    </row>
    <row r="87">
      <c r="A87" s="4" t="n"/>
      <c r="B87" s="4" t="n"/>
      <c r="C87" s="4" t="n"/>
      <c r="D87" s="4" t="n"/>
      <c r="E87" s="4" t="n"/>
      <c r="F87" s="13" t="n"/>
      <c r="G87" s="6" t="n"/>
      <c r="H87" s="14" t="n"/>
      <c r="I87" s="15">
        <f>IF(OR($A87="",$H87="",$G87=""),"",$H87*$G87/7*1.5)</f>
        <v/>
      </c>
      <c r="J87" s="6" t="n"/>
      <c r="K87" s="4" t="n"/>
    </row>
    <row r="88">
      <c r="A88" s="4" t="n"/>
      <c r="B88" s="4" t="n"/>
      <c r="C88" s="4" t="n"/>
      <c r="D88" s="4" t="n"/>
      <c r="E88" s="4" t="n"/>
      <c r="F88" s="13" t="n"/>
      <c r="G88" s="6" t="n"/>
      <c r="H88" s="14" t="n"/>
      <c r="I88" s="15">
        <f>IF(OR($A88="",$H88="",$G88=""),"",$H88*$G88/7*1.5)</f>
        <v/>
      </c>
      <c r="J88" s="6" t="n"/>
      <c r="K88" s="4" t="n"/>
    </row>
    <row r="89">
      <c r="A89" s="4" t="n"/>
      <c r="B89" s="4" t="n"/>
      <c r="C89" s="4" t="n"/>
      <c r="D89" s="4" t="n"/>
      <c r="E89" s="4" t="n"/>
      <c r="F89" s="13" t="n"/>
      <c r="G89" s="6" t="n"/>
      <c r="H89" s="14" t="n"/>
      <c r="I89" s="15">
        <f>IF(OR($A89="",$H89="",$G89=""),"",$H89*$G89/7*1.5)</f>
        <v/>
      </c>
      <c r="J89" s="6" t="n"/>
      <c r="K89" s="4" t="n"/>
    </row>
    <row r="90">
      <c r="A90" s="4" t="n"/>
      <c r="B90" s="4" t="n"/>
      <c r="C90" s="4" t="n"/>
      <c r="D90" s="4" t="n"/>
      <c r="E90" s="4" t="n"/>
      <c r="F90" s="13" t="n"/>
      <c r="G90" s="6" t="n"/>
      <c r="H90" s="14" t="n"/>
      <c r="I90" s="15">
        <f>IF(OR($A90="",$H90="",$G90=""),"",$H90*$G90/7*1.5)</f>
        <v/>
      </c>
      <c r="J90" s="6" t="n"/>
      <c r="K90" s="4" t="n"/>
    </row>
    <row r="91">
      <c r="A91" s="4" t="n"/>
      <c r="B91" s="4" t="n"/>
      <c r="C91" s="4" t="n"/>
      <c r="D91" s="4" t="n"/>
      <c r="E91" s="4" t="n"/>
      <c r="F91" s="13" t="n"/>
      <c r="G91" s="6" t="n"/>
      <c r="H91" s="14" t="n"/>
      <c r="I91" s="15">
        <f>IF(OR($A91="",$H91="",$G91=""),"",$H91*$G91/7*1.5)</f>
        <v/>
      </c>
      <c r="J91" s="6" t="n"/>
      <c r="K91" s="4" t="n"/>
    </row>
    <row r="92">
      <c r="A92" s="4" t="n"/>
      <c r="B92" s="4" t="n"/>
      <c r="C92" s="4" t="n"/>
      <c r="D92" s="4" t="n"/>
      <c r="E92" s="4" t="n"/>
      <c r="F92" s="13" t="n"/>
      <c r="G92" s="6" t="n"/>
      <c r="H92" s="14" t="n"/>
      <c r="I92" s="15">
        <f>IF(OR($A92="",$H92="",$G92=""),"",$H92*$G92/7*1.5)</f>
        <v/>
      </c>
      <c r="J92" s="6" t="n"/>
      <c r="K92" s="4" t="n"/>
    </row>
    <row r="93">
      <c r="A93" s="4" t="n"/>
      <c r="B93" s="4" t="n"/>
      <c r="C93" s="4" t="n"/>
      <c r="D93" s="4" t="n"/>
      <c r="E93" s="4" t="n"/>
      <c r="F93" s="13" t="n"/>
      <c r="G93" s="6" t="n"/>
      <c r="H93" s="14" t="n"/>
      <c r="I93" s="15">
        <f>IF(OR($A93="",$H93="",$G93=""),"",$H93*$G93/7*1.5)</f>
        <v/>
      </c>
      <c r="J93" s="6" t="n"/>
      <c r="K93" s="4" t="n"/>
    </row>
    <row r="94">
      <c r="A94" s="4" t="n"/>
      <c r="B94" s="4" t="n"/>
      <c r="C94" s="4" t="n"/>
      <c r="D94" s="4" t="n"/>
      <c r="E94" s="4" t="n"/>
      <c r="F94" s="13" t="n"/>
      <c r="G94" s="6" t="n"/>
      <c r="H94" s="14" t="n"/>
      <c r="I94" s="15">
        <f>IF(OR($A94="",$H94="",$G94=""),"",$H94*$G94/7*1.5)</f>
        <v/>
      </c>
      <c r="J94" s="6" t="n"/>
      <c r="K94" s="4" t="n"/>
    </row>
    <row r="95">
      <c r="A95" s="4" t="n"/>
      <c r="B95" s="4" t="n"/>
      <c r="C95" s="4" t="n"/>
      <c r="D95" s="4" t="n"/>
      <c r="E95" s="4" t="n"/>
      <c r="F95" s="13" t="n"/>
      <c r="G95" s="6" t="n"/>
      <c r="H95" s="14" t="n"/>
      <c r="I95" s="15">
        <f>IF(OR($A95="",$H95="",$G95=""),"",$H95*$G95/7*1.5)</f>
        <v/>
      </c>
      <c r="J95" s="6" t="n"/>
      <c r="K95" s="4" t="n"/>
    </row>
    <row r="96">
      <c r="A96" s="4" t="n"/>
      <c r="B96" s="4" t="n"/>
      <c r="C96" s="4" t="n"/>
      <c r="D96" s="4" t="n"/>
      <c r="E96" s="4" t="n"/>
      <c r="F96" s="13" t="n"/>
      <c r="G96" s="6" t="n"/>
      <c r="H96" s="14" t="n"/>
      <c r="I96" s="15">
        <f>IF(OR($A96="",$H96="",$G96=""),"",$H96*$G96/7*1.5)</f>
        <v/>
      </c>
      <c r="J96" s="6" t="n"/>
      <c r="K96" s="4" t="n"/>
    </row>
    <row r="97">
      <c r="A97" s="4" t="n"/>
      <c r="B97" s="4" t="n"/>
      <c r="C97" s="4" t="n"/>
      <c r="D97" s="4" t="n"/>
      <c r="E97" s="4" t="n"/>
      <c r="F97" s="13" t="n"/>
      <c r="G97" s="6" t="n"/>
      <c r="H97" s="14" t="n"/>
      <c r="I97" s="15">
        <f>IF(OR($A97="",$H97="",$G97=""),"",$H97*$G97/7*1.5)</f>
        <v/>
      </c>
      <c r="J97" s="6" t="n"/>
      <c r="K97" s="4" t="n"/>
    </row>
    <row r="98">
      <c r="A98" s="4" t="n"/>
      <c r="B98" s="4" t="n"/>
      <c r="C98" s="4" t="n"/>
      <c r="D98" s="4" t="n"/>
      <c r="E98" s="4" t="n"/>
      <c r="F98" s="13" t="n"/>
      <c r="G98" s="6" t="n"/>
      <c r="H98" s="14" t="n"/>
      <c r="I98" s="15">
        <f>IF(OR($A98="",$H98="",$G98=""),"",$H98*$G98/7*1.5)</f>
        <v/>
      </c>
      <c r="J98" s="6" t="n"/>
      <c r="K98" s="4" t="n"/>
    </row>
    <row r="99">
      <c r="A99" s="4" t="n"/>
      <c r="B99" s="4" t="n"/>
      <c r="C99" s="4" t="n"/>
      <c r="D99" s="4" t="n"/>
      <c r="E99" s="4" t="n"/>
      <c r="F99" s="13" t="n"/>
      <c r="G99" s="6" t="n"/>
      <c r="H99" s="14" t="n"/>
      <c r="I99" s="15">
        <f>IF(OR($A99="",$H99="",$G99=""),"",$H99*$G99/7*1.5)</f>
        <v/>
      </c>
      <c r="J99" s="6" t="n"/>
      <c r="K99" s="4" t="n"/>
    </row>
    <row r="100">
      <c r="A100" s="4" t="n"/>
      <c r="B100" s="4" t="n"/>
      <c r="C100" s="4" t="n"/>
      <c r="D100" s="4" t="n"/>
      <c r="E100" s="4" t="n"/>
      <c r="F100" s="13" t="n"/>
      <c r="G100" s="6" t="n"/>
      <c r="H100" s="14" t="n"/>
      <c r="I100" s="15">
        <f>IF(OR($A100="",$H100="",$G100=""),"",$H100*$G100/7*1.5)</f>
        <v/>
      </c>
      <c r="J100" s="6" t="n"/>
      <c r="K100" s="4" t="n"/>
    </row>
    <row r="101">
      <c r="A101" s="4" t="n"/>
      <c r="B101" s="4" t="n"/>
      <c r="C101" s="4" t="n"/>
      <c r="D101" s="4" t="n"/>
      <c r="E101" s="4" t="n"/>
      <c r="F101" s="13" t="n"/>
      <c r="G101" s="6" t="n"/>
      <c r="H101" s="14" t="n"/>
      <c r="I101" s="15">
        <f>IF(OR($A101="",$H101="",$G101=""),"",$H101*$G101/7*1.5)</f>
        <v/>
      </c>
      <c r="J101" s="6" t="n"/>
      <c r="K101" s="4" t="n"/>
    </row>
    <row r="102">
      <c r="A102" s="4" t="n"/>
      <c r="B102" s="4" t="n"/>
      <c r="C102" s="4" t="n"/>
      <c r="D102" s="4" t="n"/>
      <c r="E102" s="4" t="n"/>
      <c r="F102" s="13" t="n"/>
      <c r="G102" s="6" t="n"/>
      <c r="H102" s="14" t="n"/>
      <c r="I102" s="15">
        <f>IF(OR($A102="",$H102="",$G102=""),"",$H102*$G102/7*1.5)</f>
        <v/>
      </c>
      <c r="J102" s="6" t="n"/>
      <c r="K102" s="4" t="n"/>
    </row>
    <row r="103">
      <c r="A103" s="4" t="n"/>
      <c r="B103" s="4" t="n"/>
      <c r="C103" s="4" t="n"/>
      <c r="D103" s="4" t="n"/>
      <c r="E103" s="4" t="n"/>
      <c r="F103" s="13" t="n"/>
      <c r="G103" s="6" t="n"/>
      <c r="H103" s="14" t="n"/>
      <c r="I103" s="15">
        <f>IF(OR($A103="",$H103="",$G103=""),"",$H103*$G103/7*1.5)</f>
        <v/>
      </c>
      <c r="J103" s="6" t="n"/>
      <c r="K103" s="4" t="n"/>
    </row>
    <row r="104">
      <c r="A104" s="4" t="n"/>
      <c r="B104" s="4" t="n"/>
      <c r="C104" s="4" t="n"/>
      <c r="D104" s="4" t="n"/>
      <c r="E104" s="4" t="n"/>
      <c r="F104" s="13" t="n"/>
      <c r="G104" s="6" t="n"/>
      <c r="H104" s="14" t="n"/>
      <c r="I104" s="15">
        <f>IF(OR($A104="",$H104="",$G104=""),"",$H104*$G104/7*1.5)</f>
        <v/>
      </c>
      <c r="J104" s="6" t="n"/>
      <c r="K104" s="4" t="n"/>
    </row>
    <row r="105">
      <c r="A105" s="4" t="n"/>
      <c r="B105" s="4" t="n"/>
      <c r="C105" s="4" t="n"/>
      <c r="D105" s="4" t="n"/>
      <c r="E105" s="4" t="n"/>
      <c r="F105" s="13" t="n"/>
      <c r="G105" s="6" t="n"/>
      <c r="H105" s="14" t="n"/>
      <c r="I105" s="15">
        <f>IF(OR($A105="",$H105="",$G105=""),"",$H105*$G105/7*1.5)</f>
        <v/>
      </c>
      <c r="J105" s="6" t="n"/>
      <c r="K105" s="4" t="n"/>
    </row>
    <row r="106">
      <c r="A106" s="4" t="n"/>
      <c r="B106" s="4" t="n"/>
      <c r="C106" s="4" t="n"/>
      <c r="D106" s="4" t="n"/>
      <c r="E106" s="4" t="n"/>
      <c r="F106" s="13" t="n"/>
      <c r="G106" s="6" t="n"/>
      <c r="H106" s="14" t="n"/>
      <c r="I106" s="15">
        <f>IF(OR($A106="",$H106="",$G106=""),"",$H106*$G106/7*1.5)</f>
        <v/>
      </c>
      <c r="J106" s="6" t="n"/>
      <c r="K106" s="4" t="n"/>
    </row>
    <row r="107">
      <c r="A107" s="4" t="n"/>
      <c r="B107" s="4" t="n"/>
      <c r="C107" s="4" t="n"/>
      <c r="D107" s="4" t="n"/>
      <c r="E107" s="4" t="n"/>
      <c r="F107" s="13" t="n"/>
      <c r="G107" s="6" t="n"/>
      <c r="H107" s="14" t="n"/>
      <c r="I107" s="15">
        <f>IF(OR($A107="",$H107="",$G107=""),"",$H107*$G107/7*1.5)</f>
        <v/>
      </c>
      <c r="J107" s="6" t="n"/>
      <c r="K107" s="4" t="n"/>
    </row>
    <row r="108">
      <c r="A108" s="4" t="n"/>
      <c r="B108" s="4" t="n"/>
      <c r="C108" s="4" t="n"/>
      <c r="D108" s="4" t="n"/>
      <c r="E108" s="4" t="n"/>
      <c r="F108" s="13" t="n"/>
      <c r="G108" s="6" t="n"/>
      <c r="H108" s="14" t="n"/>
      <c r="I108" s="15">
        <f>IF(OR($A108="",$H108="",$G108=""),"",$H108*$G108/7*1.5)</f>
        <v/>
      </c>
      <c r="J108" s="6" t="n"/>
      <c r="K108" s="4" t="n"/>
    </row>
    <row r="109">
      <c r="A109" s="4" t="n"/>
      <c r="B109" s="4" t="n"/>
      <c r="C109" s="4" t="n"/>
      <c r="D109" s="4" t="n"/>
      <c r="E109" s="4" t="n"/>
      <c r="F109" s="13" t="n"/>
      <c r="G109" s="6" t="n"/>
      <c r="H109" s="14" t="n"/>
      <c r="I109" s="15">
        <f>IF(OR($A109="",$H109="",$G109=""),"",$H109*$G109/7*1.5)</f>
        <v/>
      </c>
      <c r="J109" s="6" t="n"/>
      <c r="K109" s="4" t="n"/>
    </row>
    <row r="110">
      <c r="A110" s="4" t="n"/>
      <c r="B110" s="4" t="n"/>
      <c r="C110" s="4" t="n"/>
      <c r="D110" s="4" t="n"/>
      <c r="E110" s="4" t="n"/>
      <c r="F110" s="13" t="n"/>
      <c r="G110" s="6" t="n"/>
      <c r="H110" s="14" t="n"/>
      <c r="I110" s="15">
        <f>IF(OR($A110="",$H110="",$G110=""),"",$H110*$G110/7*1.5)</f>
        <v/>
      </c>
      <c r="J110" s="6" t="n"/>
      <c r="K110" s="4" t="n"/>
    </row>
    <row r="111">
      <c r="A111" s="4" t="n"/>
      <c r="B111" s="4" t="n"/>
      <c r="C111" s="4" t="n"/>
      <c r="D111" s="4" t="n"/>
      <c r="E111" s="4" t="n"/>
      <c r="F111" s="13" t="n"/>
      <c r="G111" s="6" t="n"/>
      <c r="H111" s="14" t="n"/>
      <c r="I111" s="15">
        <f>IF(OR($A111="",$H111="",$G111=""),"",$H111*$G111/7*1.5)</f>
        <v/>
      </c>
      <c r="J111" s="6" t="n"/>
      <c r="K111" s="4" t="n"/>
    </row>
    <row r="112">
      <c r="A112" s="4" t="n"/>
      <c r="B112" s="4" t="n"/>
      <c r="C112" s="4" t="n"/>
      <c r="D112" s="4" t="n"/>
      <c r="E112" s="4" t="n"/>
      <c r="F112" s="13" t="n"/>
      <c r="G112" s="6" t="n"/>
      <c r="H112" s="14" t="n"/>
      <c r="I112" s="15">
        <f>IF(OR($A112="",$H112="",$G112=""),"",$H112*$G112/7*1.5)</f>
        <v/>
      </c>
      <c r="J112" s="6" t="n"/>
      <c r="K112" s="4" t="n"/>
    </row>
    <row r="113">
      <c r="A113" s="4" t="n"/>
      <c r="B113" s="4" t="n"/>
      <c r="C113" s="4" t="n"/>
      <c r="D113" s="4" t="n"/>
      <c r="E113" s="4" t="n"/>
      <c r="F113" s="13" t="n"/>
      <c r="G113" s="6" t="n"/>
      <c r="H113" s="14" t="n"/>
      <c r="I113" s="15">
        <f>IF(OR($A113="",$H113="",$G113=""),"",$H113*$G113/7*1.5)</f>
        <v/>
      </c>
      <c r="J113" s="6" t="n"/>
      <c r="K113" s="4" t="n"/>
    </row>
    <row r="114">
      <c r="A114" s="4" t="n"/>
      <c r="B114" s="4" t="n"/>
      <c r="C114" s="4" t="n"/>
      <c r="D114" s="4" t="n"/>
      <c r="E114" s="4" t="n"/>
      <c r="F114" s="13" t="n"/>
      <c r="G114" s="6" t="n"/>
      <c r="H114" s="14" t="n"/>
      <c r="I114" s="15">
        <f>IF(OR($A114="",$H114="",$G114=""),"",$H114*$G114/7*1.5)</f>
        <v/>
      </c>
      <c r="J114" s="6" t="n"/>
      <c r="K114" s="4" t="n"/>
    </row>
    <row r="115">
      <c r="A115" s="4" t="n"/>
      <c r="B115" s="4" t="n"/>
      <c r="C115" s="4" t="n"/>
      <c r="D115" s="4" t="n"/>
      <c r="E115" s="4" t="n"/>
      <c r="F115" s="13" t="n"/>
      <c r="G115" s="6" t="n"/>
      <c r="H115" s="14" t="n"/>
      <c r="I115" s="15">
        <f>IF(OR($A115="",$H115="",$G115=""),"",$H115*$G115/7*1.5)</f>
        <v/>
      </c>
      <c r="J115" s="6" t="n"/>
      <c r="K115" s="4" t="n"/>
    </row>
    <row r="116">
      <c r="A116" s="4" t="n"/>
      <c r="B116" s="4" t="n"/>
      <c r="C116" s="4" t="n"/>
      <c r="D116" s="4" t="n"/>
      <c r="E116" s="4" t="n"/>
      <c r="F116" s="13" t="n"/>
      <c r="G116" s="6" t="n"/>
      <c r="H116" s="14" t="n"/>
      <c r="I116" s="15">
        <f>IF(OR($A116="",$H116="",$G116=""),"",$H116*$G116/7*1.5)</f>
        <v/>
      </c>
      <c r="J116" s="6" t="n"/>
      <c r="K116" s="4" t="n"/>
    </row>
    <row r="117">
      <c r="A117" s="4" t="n"/>
      <c r="B117" s="4" t="n"/>
      <c r="C117" s="4" t="n"/>
      <c r="D117" s="4" t="n"/>
      <c r="E117" s="4" t="n"/>
      <c r="F117" s="13" t="n"/>
      <c r="G117" s="6" t="n"/>
      <c r="H117" s="14" t="n"/>
      <c r="I117" s="15">
        <f>IF(OR($A117="",$H117="",$G117=""),"",$H117*$G117/7*1.5)</f>
        <v/>
      </c>
      <c r="J117" s="6" t="n"/>
      <c r="K117" s="4" t="n"/>
    </row>
    <row r="118">
      <c r="A118" s="4" t="n"/>
      <c r="B118" s="4" t="n"/>
      <c r="C118" s="4" t="n"/>
      <c r="D118" s="4" t="n"/>
      <c r="E118" s="4" t="n"/>
      <c r="F118" s="13" t="n"/>
      <c r="G118" s="6" t="n"/>
      <c r="H118" s="14" t="n"/>
      <c r="I118" s="15">
        <f>IF(OR($A118="",$H118="",$G118=""),"",$H118*$G118/7*1.5)</f>
        <v/>
      </c>
      <c r="J118" s="6" t="n"/>
      <c r="K118" s="4" t="n"/>
    </row>
    <row r="119">
      <c r="A119" s="4" t="n"/>
      <c r="B119" s="4" t="n"/>
      <c r="C119" s="4" t="n"/>
      <c r="D119" s="4" t="n"/>
      <c r="E119" s="4" t="n"/>
      <c r="F119" s="13" t="n"/>
      <c r="G119" s="6" t="n"/>
      <c r="H119" s="14" t="n"/>
      <c r="I119" s="15">
        <f>IF(OR($A119="",$H119="",$G119=""),"",$H119*$G119/7*1.5)</f>
        <v/>
      </c>
      <c r="J119" s="6" t="n"/>
      <c r="K119" s="4" t="n"/>
    </row>
    <row r="120">
      <c r="A120" s="4" t="n"/>
      <c r="B120" s="4" t="n"/>
      <c r="C120" s="4" t="n"/>
      <c r="D120" s="4" t="n"/>
      <c r="E120" s="4" t="n"/>
      <c r="F120" s="13" t="n"/>
      <c r="G120" s="6" t="n"/>
      <c r="H120" s="14" t="n"/>
      <c r="I120" s="15">
        <f>IF(OR($A120="",$H120="",$G120=""),"",$H120*$G120/7*1.5)</f>
        <v/>
      </c>
      <c r="J120" s="6" t="n"/>
      <c r="K120" s="4" t="n"/>
    </row>
    <row r="121">
      <c r="A121" s="4" t="n"/>
      <c r="B121" s="4" t="n"/>
      <c r="C121" s="4" t="n"/>
      <c r="D121" s="4" t="n"/>
      <c r="E121" s="4" t="n"/>
      <c r="F121" s="13" t="n"/>
      <c r="G121" s="6" t="n"/>
      <c r="H121" s="14" t="n"/>
      <c r="I121" s="15">
        <f>IF(OR($A121="",$H121="",$G121=""),"",$H121*$G121/7*1.5)</f>
        <v/>
      </c>
      <c r="J121" s="6" t="n"/>
      <c r="K121" s="4" t="n"/>
    </row>
    <row r="122">
      <c r="A122" s="4" t="n"/>
      <c r="B122" s="4" t="n"/>
      <c r="C122" s="4" t="n"/>
      <c r="D122" s="4" t="n"/>
      <c r="E122" s="4" t="n"/>
      <c r="F122" s="13" t="n"/>
      <c r="G122" s="6" t="n"/>
      <c r="H122" s="14" t="n"/>
      <c r="I122" s="15">
        <f>IF(OR($A122="",$H122="",$G122=""),"",$H122*$G122/7*1.5)</f>
        <v/>
      </c>
      <c r="J122" s="6" t="n"/>
      <c r="K122" s="4" t="n"/>
    </row>
    <row r="123">
      <c r="A123" s="4" t="n"/>
      <c r="B123" s="4" t="n"/>
      <c r="C123" s="4" t="n"/>
      <c r="D123" s="4" t="n"/>
      <c r="E123" s="4" t="n"/>
      <c r="F123" s="13" t="n"/>
      <c r="G123" s="6" t="n"/>
      <c r="H123" s="14" t="n"/>
      <c r="I123" s="15">
        <f>IF(OR($A123="",$H123="",$G123=""),"",$H123*$G123/7*1.5)</f>
        <v/>
      </c>
      <c r="J123" s="6" t="n"/>
      <c r="K123" s="4" t="n"/>
    </row>
    <row r="124">
      <c r="A124" s="4" t="n"/>
      <c r="B124" s="4" t="n"/>
      <c r="C124" s="4" t="n"/>
      <c r="D124" s="4" t="n"/>
      <c r="E124" s="4" t="n"/>
      <c r="F124" s="13" t="n"/>
      <c r="G124" s="6" t="n"/>
      <c r="H124" s="14" t="n"/>
      <c r="I124" s="15">
        <f>IF(OR($A124="",$H124="",$G124=""),"",$H124*$G124/7*1.5)</f>
        <v/>
      </c>
      <c r="J124" s="6" t="n"/>
      <c r="K124" s="4" t="n"/>
    </row>
    <row r="125">
      <c r="A125" s="4" t="n"/>
      <c r="B125" s="4" t="n"/>
      <c r="C125" s="4" t="n"/>
      <c r="D125" s="4" t="n"/>
      <c r="E125" s="4" t="n"/>
      <c r="F125" s="13" t="n"/>
      <c r="G125" s="6" t="n"/>
      <c r="H125" s="14" t="n"/>
      <c r="I125" s="15">
        <f>IF(OR($A125="",$H125="",$G125=""),"",$H125*$G125/7*1.5)</f>
        <v/>
      </c>
      <c r="J125" s="6" t="n"/>
      <c r="K125" s="4" t="n"/>
    </row>
    <row r="126">
      <c r="A126" s="4" t="n"/>
      <c r="B126" s="4" t="n"/>
      <c r="C126" s="4" t="n"/>
      <c r="D126" s="4" t="n"/>
      <c r="E126" s="4" t="n"/>
      <c r="F126" s="13" t="n"/>
      <c r="G126" s="6" t="n"/>
      <c r="H126" s="14" t="n"/>
      <c r="I126" s="15">
        <f>IF(OR($A126="",$H126="",$G126=""),"",$H126*$G126/7*1.5)</f>
        <v/>
      </c>
      <c r="J126" s="6" t="n"/>
      <c r="K126" s="4" t="n"/>
    </row>
    <row r="127">
      <c r="A127" s="4" t="n"/>
      <c r="B127" s="4" t="n"/>
      <c r="C127" s="4" t="n"/>
      <c r="D127" s="4" t="n"/>
      <c r="E127" s="4" t="n"/>
      <c r="F127" s="13" t="n"/>
      <c r="G127" s="6" t="n"/>
      <c r="H127" s="14" t="n"/>
      <c r="I127" s="15">
        <f>IF(OR($A127="",$H127="",$G127=""),"",$H127*$G127/7*1.5)</f>
        <v/>
      </c>
      <c r="J127" s="6" t="n"/>
      <c r="K127" s="4" t="n"/>
    </row>
    <row r="128">
      <c r="A128" s="4" t="n"/>
      <c r="B128" s="4" t="n"/>
      <c r="C128" s="4" t="n"/>
      <c r="D128" s="4" t="n"/>
      <c r="E128" s="4" t="n"/>
      <c r="F128" s="13" t="n"/>
      <c r="G128" s="6" t="n"/>
      <c r="H128" s="14" t="n"/>
      <c r="I128" s="15">
        <f>IF(OR($A128="",$H128="",$G128=""),"",$H128*$G128/7*1.5)</f>
        <v/>
      </c>
      <c r="J128" s="6" t="n"/>
      <c r="K128" s="4" t="n"/>
    </row>
    <row r="129">
      <c r="A129" s="4" t="n"/>
      <c r="B129" s="4" t="n"/>
      <c r="C129" s="4" t="n"/>
      <c r="D129" s="4" t="n"/>
      <c r="E129" s="4" t="n"/>
      <c r="F129" s="13" t="n"/>
      <c r="G129" s="6" t="n"/>
      <c r="H129" s="14" t="n"/>
      <c r="I129" s="15">
        <f>IF(OR($A129="",$H129="",$G129=""),"",$H129*$G129/7*1.5)</f>
        <v/>
      </c>
      <c r="J129" s="6" t="n"/>
      <c r="K129" s="4" t="n"/>
    </row>
    <row r="130">
      <c r="A130" s="4" t="n"/>
      <c r="B130" s="4" t="n"/>
      <c r="C130" s="4" t="n"/>
      <c r="D130" s="4" t="n"/>
      <c r="E130" s="4" t="n"/>
      <c r="F130" s="13" t="n"/>
      <c r="G130" s="6" t="n"/>
      <c r="H130" s="14" t="n"/>
      <c r="I130" s="15">
        <f>IF(OR($A130="",$H130="",$G130=""),"",$H130*$G130/7*1.5)</f>
        <v/>
      </c>
      <c r="J130" s="6" t="n"/>
      <c r="K130" s="4" t="n"/>
    </row>
    <row r="131">
      <c r="A131" s="4" t="n"/>
      <c r="B131" s="4" t="n"/>
      <c r="C131" s="4" t="n"/>
      <c r="D131" s="4" t="n"/>
      <c r="E131" s="4" t="n"/>
      <c r="F131" s="13" t="n"/>
      <c r="G131" s="6" t="n"/>
      <c r="H131" s="14" t="n"/>
      <c r="I131" s="15">
        <f>IF(OR($A131="",$H131="",$G131=""),"",$H131*$G131/7*1.5)</f>
        <v/>
      </c>
      <c r="J131" s="6" t="n"/>
      <c r="K131" s="4" t="n"/>
    </row>
    <row r="132">
      <c r="A132" s="4" t="n"/>
      <c r="B132" s="4" t="n"/>
      <c r="C132" s="4" t="n"/>
      <c r="D132" s="4" t="n"/>
      <c r="E132" s="4" t="n"/>
      <c r="F132" s="13" t="n"/>
      <c r="G132" s="6" t="n"/>
      <c r="H132" s="14" t="n"/>
      <c r="I132" s="15">
        <f>IF(OR($A132="",$H132="",$G132=""),"",$H132*$G132/7*1.5)</f>
        <v/>
      </c>
      <c r="J132" s="6" t="n"/>
      <c r="K132" s="4" t="n"/>
    </row>
    <row r="133">
      <c r="A133" s="4" t="n"/>
      <c r="B133" s="4" t="n"/>
      <c r="C133" s="4" t="n"/>
      <c r="D133" s="4" t="n"/>
      <c r="E133" s="4" t="n"/>
      <c r="F133" s="13" t="n"/>
      <c r="G133" s="6" t="n"/>
      <c r="H133" s="14" t="n"/>
      <c r="I133" s="15">
        <f>IF(OR($A133="",$H133="",$G133=""),"",$H133*$G133/7*1.5)</f>
        <v/>
      </c>
      <c r="J133" s="6" t="n"/>
      <c r="K133" s="4" t="n"/>
    </row>
    <row r="134">
      <c r="A134" s="4" t="n"/>
      <c r="B134" s="4" t="n"/>
      <c r="C134" s="4" t="n"/>
      <c r="D134" s="4" t="n"/>
      <c r="E134" s="4" t="n"/>
      <c r="F134" s="13" t="n"/>
      <c r="G134" s="6" t="n"/>
      <c r="H134" s="14" t="n"/>
      <c r="I134" s="15">
        <f>IF(OR($A134="",$H134="",$G134=""),"",$H134*$G134/7*1.5)</f>
        <v/>
      </c>
      <c r="J134" s="6" t="n"/>
      <c r="K134" s="4" t="n"/>
    </row>
    <row r="135">
      <c r="A135" s="4" t="n"/>
      <c r="B135" s="4" t="n"/>
      <c r="C135" s="4" t="n"/>
      <c r="D135" s="4" t="n"/>
      <c r="E135" s="4" t="n"/>
      <c r="F135" s="13" t="n"/>
      <c r="G135" s="6" t="n"/>
      <c r="H135" s="14" t="n"/>
      <c r="I135" s="15">
        <f>IF(OR($A135="",$H135="",$G135=""),"",$H135*$G135/7*1.5)</f>
        <v/>
      </c>
      <c r="J135" s="6" t="n"/>
      <c r="K135" s="4" t="n"/>
    </row>
    <row r="136">
      <c r="A136" s="4" t="n"/>
      <c r="B136" s="4" t="n"/>
      <c r="C136" s="4" t="n"/>
      <c r="D136" s="4" t="n"/>
      <c r="E136" s="4" t="n"/>
      <c r="F136" s="13" t="n"/>
      <c r="G136" s="6" t="n"/>
      <c r="H136" s="14" t="n"/>
      <c r="I136" s="15">
        <f>IF(OR($A136="",$H136="",$G136=""),"",$H136*$G136/7*1.5)</f>
        <v/>
      </c>
      <c r="J136" s="6" t="n"/>
      <c r="K136" s="4" t="n"/>
    </row>
    <row r="137">
      <c r="A137" s="4" t="n"/>
      <c r="B137" s="4" t="n"/>
      <c r="C137" s="4" t="n"/>
      <c r="D137" s="4" t="n"/>
      <c r="E137" s="4" t="n"/>
      <c r="F137" s="13" t="n"/>
      <c r="G137" s="6" t="n"/>
      <c r="H137" s="14" t="n"/>
      <c r="I137" s="15">
        <f>IF(OR($A137="",$H137="",$G137=""),"",$H137*$G137/7*1.5)</f>
        <v/>
      </c>
      <c r="J137" s="6" t="n"/>
      <c r="K137" s="4" t="n"/>
    </row>
    <row r="138">
      <c r="A138" s="4" t="n"/>
      <c r="B138" s="4" t="n"/>
      <c r="C138" s="4" t="n"/>
      <c r="D138" s="4" t="n"/>
      <c r="E138" s="4" t="n"/>
      <c r="F138" s="13" t="n"/>
      <c r="G138" s="6" t="n"/>
      <c r="H138" s="14" t="n"/>
      <c r="I138" s="15">
        <f>IF(OR($A138="",$H138="",$G138=""),"",$H138*$G138/7*1.5)</f>
        <v/>
      </c>
      <c r="J138" s="6" t="n"/>
      <c r="K138" s="4" t="n"/>
    </row>
    <row r="139">
      <c r="A139" s="4" t="n"/>
      <c r="B139" s="4" t="n"/>
      <c r="C139" s="4" t="n"/>
      <c r="D139" s="4" t="n"/>
      <c r="E139" s="4" t="n"/>
      <c r="F139" s="13" t="n"/>
      <c r="G139" s="6" t="n"/>
      <c r="H139" s="14" t="n"/>
      <c r="I139" s="15">
        <f>IF(OR($A139="",$H139="",$G139=""),"",$H139*$G139/7*1.5)</f>
        <v/>
      </c>
      <c r="J139" s="6" t="n"/>
      <c r="K139" s="4" t="n"/>
    </row>
    <row r="140">
      <c r="A140" s="4" t="n"/>
      <c r="B140" s="4" t="n"/>
      <c r="C140" s="4" t="n"/>
      <c r="D140" s="4" t="n"/>
      <c r="E140" s="4" t="n"/>
      <c r="F140" s="13" t="n"/>
      <c r="G140" s="6" t="n"/>
      <c r="H140" s="14" t="n"/>
      <c r="I140" s="15">
        <f>IF(OR($A140="",$H140="",$G140=""),"",$H140*$G140/7*1.5)</f>
        <v/>
      </c>
      <c r="J140" s="6" t="n"/>
      <c r="K140" s="4" t="n"/>
    </row>
    <row r="141">
      <c r="A141" s="4" t="n"/>
      <c r="B141" s="4" t="n"/>
      <c r="C141" s="4" t="n"/>
      <c r="D141" s="4" t="n"/>
      <c r="E141" s="4" t="n"/>
      <c r="F141" s="13" t="n"/>
      <c r="G141" s="6" t="n"/>
      <c r="H141" s="14" t="n"/>
      <c r="I141" s="15">
        <f>IF(OR($A141="",$H141="",$G141=""),"",$H141*$G141/7*1.5)</f>
        <v/>
      </c>
      <c r="J141" s="6" t="n"/>
      <c r="K141" s="4" t="n"/>
    </row>
    <row r="142">
      <c r="A142" s="4" t="n"/>
      <c r="B142" s="4" t="n"/>
      <c r="C142" s="4" t="n"/>
      <c r="D142" s="4" t="n"/>
      <c r="E142" s="4" t="n"/>
      <c r="F142" s="13" t="n"/>
      <c r="G142" s="6" t="n"/>
      <c r="H142" s="14" t="n"/>
      <c r="I142" s="15">
        <f>IF(OR($A142="",$H142="",$G142=""),"",$H142*$G142/7*1.5)</f>
        <v/>
      </c>
      <c r="J142" s="6" t="n"/>
      <c r="K142" s="4" t="n"/>
    </row>
    <row r="143">
      <c r="A143" s="4" t="n"/>
      <c r="B143" s="4" t="n"/>
      <c r="C143" s="4" t="n"/>
      <c r="D143" s="4" t="n"/>
      <c r="E143" s="4" t="n"/>
      <c r="F143" s="13" t="n"/>
      <c r="G143" s="6" t="n"/>
      <c r="H143" s="14" t="n"/>
      <c r="I143" s="15">
        <f>IF(OR($A143="",$H143="",$G143=""),"",$H143*$G143/7*1.5)</f>
        <v/>
      </c>
      <c r="J143" s="6" t="n"/>
      <c r="K143" s="4" t="n"/>
    </row>
    <row r="144">
      <c r="A144" s="4" t="n"/>
      <c r="B144" s="4" t="n"/>
      <c r="C144" s="4" t="n"/>
      <c r="D144" s="4" t="n"/>
      <c r="E144" s="4" t="n"/>
      <c r="F144" s="13" t="n"/>
      <c r="G144" s="6" t="n"/>
      <c r="H144" s="14" t="n"/>
      <c r="I144" s="15">
        <f>IF(OR($A144="",$H144="",$G144=""),"",$H144*$G144/7*1.5)</f>
        <v/>
      </c>
      <c r="J144" s="6" t="n"/>
      <c r="K144" s="4" t="n"/>
    </row>
    <row r="145">
      <c r="A145" s="4" t="n"/>
      <c r="B145" s="4" t="n"/>
      <c r="C145" s="4" t="n"/>
      <c r="D145" s="4" t="n"/>
      <c r="E145" s="4" t="n"/>
      <c r="F145" s="13" t="n"/>
      <c r="G145" s="6" t="n"/>
      <c r="H145" s="14" t="n"/>
      <c r="I145" s="15">
        <f>IF(OR($A145="",$H145="",$G145=""),"",$H145*$G145/7*1.5)</f>
        <v/>
      </c>
      <c r="J145" s="6" t="n"/>
      <c r="K145" s="4" t="n"/>
    </row>
    <row r="146">
      <c r="A146" s="4" t="n"/>
      <c r="B146" s="4" t="n"/>
      <c r="C146" s="4" t="n"/>
      <c r="D146" s="4" t="n"/>
      <c r="E146" s="4" t="n"/>
      <c r="F146" s="13" t="n"/>
      <c r="G146" s="6" t="n"/>
      <c r="H146" s="14" t="n"/>
      <c r="I146" s="15">
        <f>IF(OR($A146="",$H146="",$G146=""),"",$H146*$G146/7*1.5)</f>
        <v/>
      </c>
      <c r="J146" s="6" t="n"/>
      <c r="K146" s="4" t="n"/>
    </row>
    <row r="147">
      <c r="A147" s="4" t="n"/>
      <c r="B147" s="4" t="n"/>
      <c r="C147" s="4" t="n"/>
      <c r="D147" s="4" t="n"/>
      <c r="E147" s="4" t="n"/>
      <c r="F147" s="13" t="n"/>
      <c r="G147" s="6" t="n"/>
      <c r="H147" s="14" t="n"/>
      <c r="I147" s="15">
        <f>IF(OR($A147="",$H147="",$G147=""),"",$H147*$G147/7*1.5)</f>
        <v/>
      </c>
      <c r="J147" s="6" t="n"/>
      <c r="K147" s="4" t="n"/>
    </row>
    <row r="148">
      <c r="A148" s="4" t="n"/>
      <c r="B148" s="4" t="n"/>
      <c r="C148" s="4" t="n"/>
      <c r="D148" s="4" t="n"/>
      <c r="E148" s="4" t="n"/>
      <c r="F148" s="13" t="n"/>
      <c r="G148" s="6" t="n"/>
      <c r="H148" s="14" t="n"/>
      <c r="I148" s="15">
        <f>IF(OR($A148="",$H148="",$G148=""),"",$H148*$G148/7*1.5)</f>
        <v/>
      </c>
      <c r="J148" s="6" t="n"/>
      <c r="K148" s="4" t="n"/>
    </row>
    <row r="149">
      <c r="A149" s="4" t="n"/>
      <c r="B149" s="4" t="n"/>
      <c r="C149" s="4" t="n"/>
      <c r="D149" s="4" t="n"/>
      <c r="E149" s="4" t="n"/>
      <c r="F149" s="13" t="n"/>
      <c r="G149" s="6" t="n"/>
      <c r="H149" s="14" t="n"/>
      <c r="I149" s="15">
        <f>IF(OR($A149="",$H149="",$G149=""),"",$H149*$G149/7*1.5)</f>
        <v/>
      </c>
      <c r="J149" s="6" t="n"/>
      <c r="K149" s="4" t="n"/>
    </row>
    <row r="150">
      <c r="A150" s="4" t="n"/>
      <c r="B150" s="4" t="n"/>
      <c r="C150" s="4" t="n"/>
      <c r="D150" s="4" t="n"/>
      <c r="E150" s="4" t="n"/>
      <c r="F150" s="13" t="n"/>
      <c r="G150" s="6" t="n"/>
      <c r="H150" s="14" t="n"/>
      <c r="I150" s="15">
        <f>IF(OR($A150="",$H150="",$G150=""),"",$H150*$G150/7*1.5)</f>
        <v/>
      </c>
      <c r="J150" s="6" t="n"/>
      <c r="K150" s="4" t="n"/>
    </row>
    <row r="151">
      <c r="A151" s="4" t="n"/>
      <c r="B151" s="4" t="n"/>
      <c r="C151" s="4" t="n"/>
      <c r="D151" s="4" t="n"/>
      <c r="E151" s="4" t="n"/>
      <c r="F151" s="13" t="n"/>
      <c r="G151" s="6" t="n"/>
      <c r="H151" s="14" t="n"/>
      <c r="I151" s="15">
        <f>IF(OR($A151="",$H151="",$G151=""),"",$H151*$G151/7*1.5)</f>
        <v/>
      </c>
      <c r="J151" s="6" t="n"/>
      <c r="K151" s="4" t="n"/>
    </row>
    <row r="152">
      <c r="A152" s="4" t="n"/>
      <c r="B152" s="4" t="n"/>
      <c r="C152" s="4" t="n"/>
      <c r="D152" s="4" t="n"/>
      <c r="E152" s="4" t="n"/>
      <c r="F152" s="13" t="n"/>
      <c r="G152" s="6" t="n"/>
      <c r="H152" s="14" t="n"/>
      <c r="I152" s="15">
        <f>IF(OR($A152="",$H152="",$G152=""),"",$H152*$G152/7*1.5)</f>
        <v/>
      </c>
      <c r="J152" s="6" t="n"/>
      <c r="K152" s="4" t="n"/>
    </row>
    <row r="153">
      <c r="A153" s="4" t="n"/>
      <c r="B153" s="4" t="n"/>
      <c r="C153" s="4" t="n"/>
      <c r="D153" s="4" t="n"/>
      <c r="E153" s="4" t="n"/>
      <c r="F153" s="13" t="n"/>
      <c r="G153" s="6" t="n"/>
      <c r="H153" s="14" t="n"/>
      <c r="I153" s="15">
        <f>IF(OR($A153="",$H153="",$G153=""),"",$H153*$G153/7*1.5)</f>
        <v/>
      </c>
      <c r="J153" s="6" t="n"/>
      <c r="K153" s="4" t="n"/>
    </row>
    <row r="154">
      <c r="A154" s="4" t="n"/>
      <c r="B154" s="4" t="n"/>
      <c r="C154" s="4" t="n"/>
      <c r="D154" s="4" t="n"/>
      <c r="E154" s="4" t="n"/>
      <c r="F154" s="13" t="n"/>
      <c r="G154" s="6" t="n"/>
      <c r="H154" s="14" t="n"/>
      <c r="I154" s="15">
        <f>IF(OR($A154="",$H154="",$G154=""),"",$H154*$G154/7*1.5)</f>
        <v/>
      </c>
      <c r="J154" s="6" t="n"/>
      <c r="K154" s="4" t="n"/>
    </row>
    <row r="155">
      <c r="A155" s="4" t="n"/>
      <c r="B155" s="4" t="n"/>
      <c r="C155" s="4" t="n"/>
      <c r="D155" s="4" t="n"/>
      <c r="E155" s="4" t="n"/>
      <c r="F155" s="13" t="n"/>
      <c r="G155" s="6" t="n"/>
      <c r="H155" s="14" t="n"/>
      <c r="I155" s="15">
        <f>IF(OR($A155="",$H155="",$G155=""),"",$H155*$G155/7*1.5)</f>
        <v/>
      </c>
      <c r="J155" s="6" t="n"/>
      <c r="K155" s="4" t="n"/>
    </row>
    <row r="156">
      <c r="A156" s="4" t="n"/>
      <c r="B156" s="4" t="n"/>
      <c r="C156" s="4" t="n"/>
      <c r="D156" s="4" t="n"/>
      <c r="E156" s="4" t="n"/>
      <c r="F156" s="13" t="n"/>
      <c r="G156" s="6" t="n"/>
      <c r="H156" s="14" t="n"/>
      <c r="I156" s="15">
        <f>IF(OR($A156="",$H156="",$G156=""),"",$H156*$G156/7*1.5)</f>
        <v/>
      </c>
      <c r="J156" s="6" t="n"/>
      <c r="K156" s="4" t="n"/>
    </row>
    <row r="157">
      <c r="A157" s="4" t="n"/>
      <c r="B157" s="4" t="n"/>
      <c r="C157" s="4" t="n"/>
      <c r="D157" s="4" t="n"/>
      <c r="E157" s="4" t="n"/>
      <c r="F157" s="13" t="n"/>
      <c r="G157" s="6" t="n"/>
      <c r="H157" s="14" t="n"/>
      <c r="I157" s="15">
        <f>IF(OR($A157="",$H157="",$G157=""),"",$H157*$G157/7*1.5)</f>
        <v/>
      </c>
      <c r="J157" s="6" t="n"/>
      <c r="K157" s="4" t="n"/>
    </row>
    <row r="158">
      <c r="A158" s="4" t="n"/>
      <c r="B158" s="4" t="n"/>
      <c r="C158" s="4" t="n"/>
      <c r="D158" s="4" t="n"/>
      <c r="E158" s="4" t="n"/>
      <c r="F158" s="13" t="n"/>
      <c r="G158" s="6" t="n"/>
      <c r="H158" s="14" t="n"/>
      <c r="I158" s="15">
        <f>IF(OR($A158="",$H158="",$G158=""),"",$H158*$G158/7*1.5)</f>
        <v/>
      </c>
      <c r="J158" s="6" t="n"/>
      <c r="K158" s="4" t="n"/>
    </row>
    <row r="159">
      <c r="A159" s="4" t="n"/>
      <c r="B159" s="4" t="n"/>
      <c r="C159" s="4" t="n"/>
      <c r="D159" s="4" t="n"/>
      <c r="E159" s="4" t="n"/>
      <c r="F159" s="13" t="n"/>
      <c r="G159" s="6" t="n"/>
      <c r="H159" s="14" t="n"/>
      <c r="I159" s="15">
        <f>IF(OR($A159="",$H159="",$G159=""),"",$H159*$G159/7*1.5)</f>
        <v/>
      </c>
      <c r="J159" s="6" t="n"/>
      <c r="K159" s="4" t="n"/>
    </row>
    <row r="160">
      <c r="A160" s="4" t="n"/>
      <c r="B160" s="4" t="n"/>
      <c r="C160" s="4" t="n"/>
      <c r="D160" s="4" t="n"/>
      <c r="E160" s="4" t="n"/>
      <c r="F160" s="13" t="n"/>
      <c r="G160" s="6" t="n"/>
      <c r="H160" s="14" t="n"/>
      <c r="I160" s="15">
        <f>IF(OR($A160="",$H160="",$G160=""),"",$H160*$G160/7*1.5)</f>
        <v/>
      </c>
      <c r="J160" s="6" t="n"/>
      <c r="K160" s="4" t="n"/>
    </row>
    <row r="161">
      <c r="A161" s="4" t="n"/>
      <c r="B161" s="4" t="n"/>
      <c r="C161" s="4" t="n"/>
      <c r="D161" s="4" t="n"/>
      <c r="E161" s="4" t="n"/>
      <c r="F161" s="13" t="n"/>
      <c r="G161" s="6" t="n"/>
      <c r="H161" s="14" t="n"/>
      <c r="I161" s="15">
        <f>IF(OR($A161="",$H161="",$G161=""),"",$H161*$G161/7*1.5)</f>
        <v/>
      </c>
      <c r="J161" s="6" t="n"/>
      <c r="K161" s="4" t="n"/>
    </row>
    <row r="162">
      <c r="A162" s="4" t="n"/>
      <c r="B162" s="4" t="n"/>
      <c r="C162" s="4" t="n"/>
      <c r="D162" s="4" t="n"/>
      <c r="E162" s="4" t="n"/>
      <c r="F162" s="13" t="n"/>
      <c r="G162" s="6" t="n"/>
      <c r="H162" s="14" t="n"/>
      <c r="I162" s="15">
        <f>IF(OR($A162="",$H162="",$G162=""),"",$H162*$G162/7*1.5)</f>
        <v/>
      </c>
      <c r="J162" s="6" t="n"/>
      <c r="K162" s="4" t="n"/>
    </row>
    <row r="163">
      <c r="A163" s="4" t="n"/>
      <c r="B163" s="4" t="n"/>
      <c r="C163" s="4" t="n"/>
      <c r="D163" s="4" t="n"/>
      <c r="E163" s="4" t="n"/>
      <c r="F163" s="13" t="n"/>
      <c r="G163" s="6" t="n"/>
      <c r="H163" s="14" t="n"/>
      <c r="I163" s="15">
        <f>IF(OR($A163="",$H163="",$G163=""),"",$H163*$G163/7*1.5)</f>
        <v/>
      </c>
      <c r="J163" s="6" t="n"/>
      <c r="K163" s="4" t="n"/>
    </row>
    <row r="164">
      <c r="A164" s="4" t="n"/>
      <c r="B164" s="4" t="n"/>
      <c r="C164" s="4" t="n"/>
      <c r="D164" s="4" t="n"/>
      <c r="E164" s="4" t="n"/>
      <c r="F164" s="13" t="n"/>
      <c r="G164" s="6" t="n"/>
      <c r="H164" s="14" t="n"/>
      <c r="I164" s="15">
        <f>IF(OR($A164="",$H164="",$G164=""),"",$H164*$G164/7*1.5)</f>
        <v/>
      </c>
      <c r="J164" s="6" t="n"/>
      <c r="K164" s="4" t="n"/>
    </row>
    <row r="165">
      <c r="A165" s="4" t="n"/>
      <c r="B165" s="4" t="n"/>
      <c r="C165" s="4" t="n"/>
      <c r="D165" s="4" t="n"/>
      <c r="E165" s="4" t="n"/>
      <c r="F165" s="13" t="n"/>
      <c r="G165" s="6" t="n"/>
      <c r="H165" s="14" t="n"/>
      <c r="I165" s="15">
        <f>IF(OR($A165="",$H165="",$G165=""),"",$H165*$G165/7*1.5)</f>
        <v/>
      </c>
      <c r="J165" s="6" t="n"/>
      <c r="K165" s="4" t="n"/>
    </row>
    <row r="166">
      <c r="A166" s="4" t="n"/>
      <c r="B166" s="4" t="n"/>
      <c r="C166" s="4" t="n"/>
      <c r="D166" s="4" t="n"/>
      <c r="E166" s="4" t="n"/>
      <c r="F166" s="13" t="n"/>
      <c r="G166" s="6" t="n"/>
      <c r="H166" s="14" t="n"/>
      <c r="I166" s="15">
        <f>IF(OR($A166="",$H166="",$G166=""),"",$H166*$G166/7*1.5)</f>
        <v/>
      </c>
      <c r="J166" s="6" t="n"/>
      <c r="K166" s="4" t="n"/>
    </row>
    <row r="167">
      <c r="A167" s="4" t="n"/>
      <c r="B167" s="4" t="n"/>
      <c r="C167" s="4" t="n"/>
      <c r="D167" s="4" t="n"/>
      <c r="E167" s="4" t="n"/>
      <c r="F167" s="13" t="n"/>
      <c r="G167" s="6" t="n"/>
      <c r="H167" s="14" t="n"/>
      <c r="I167" s="15">
        <f>IF(OR($A167="",$H167="",$G167=""),"",$H167*$G167/7*1.5)</f>
        <v/>
      </c>
      <c r="J167" s="6" t="n"/>
      <c r="K167" s="4" t="n"/>
    </row>
    <row r="168">
      <c r="A168" s="4" t="n"/>
      <c r="B168" s="4" t="n"/>
      <c r="C168" s="4" t="n"/>
      <c r="D168" s="4" t="n"/>
      <c r="E168" s="4" t="n"/>
      <c r="F168" s="13" t="n"/>
      <c r="G168" s="6" t="n"/>
      <c r="H168" s="14" t="n"/>
      <c r="I168" s="15">
        <f>IF(OR($A168="",$H168="",$G168=""),"",$H168*$G168/7*1.5)</f>
        <v/>
      </c>
      <c r="J168" s="6" t="n"/>
      <c r="K168" s="4" t="n"/>
    </row>
    <row r="169">
      <c r="A169" s="4" t="n"/>
      <c r="B169" s="4" t="n"/>
      <c r="C169" s="4" t="n"/>
      <c r="D169" s="4" t="n"/>
      <c r="E169" s="4" t="n"/>
      <c r="F169" s="13" t="n"/>
      <c r="G169" s="6" t="n"/>
      <c r="H169" s="14" t="n"/>
      <c r="I169" s="15">
        <f>IF(OR($A169="",$H169="",$G169=""),"",$H169*$G169/7*1.5)</f>
        <v/>
      </c>
      <c r="J169" s="6" t="n"/>
      <c r="K169" s="4" t="n"/>
    </row>
    <row r="170">
      <c r="A170" s="4" t="n"/>
      <c r="B170" s="4" t="n"/>
      <c r="C170" s="4" t="n"/>
      <c r="D170" s="4" t="n"/>
      <c r="E170" s="4" t="n"/>
      <c r="F170" s="13" t="n"/>
      <c r="G170" s="6" t="n"/>
      <c r="H170" s="14" t="n"/>
      <c r="I170" s="15">
        <f>IF(OR($A170="",$H170="",$G170=""),"",$H170*$G170/7*1.5)</f>
        <v/>
      </c>
      <c r="J170" s="6" t="n"/>
      <c r="K170" s="4" t="n"/>
    </row>
    <row r="171">
      <c r="A171" s="4" t="n"/>
      <c r="B171" s="4" t="n"/>
      <c r="C171" s="4" t="n"/>
      <c r="D171" s="4" t="n"/>
      <c r="E171" s="4" t="n"/>
      <c r="F171" s="13" t="n"/>
      <c r="G171" s="6" t="n"/>
      <c r="H171" s="14" t="n"/>
      <c r="I171" s="15">
        <f>IF(OR($A171="",$H171="",$G171=""),"",$H171*$G171/7*1.5)</f>
        <v/>
      </c>
      <c r="J171" s="6" t="n"/>
      <c r="K171" s="4" t="n"/>
    </row>
    <row r="172">
      <c r="A172" s="4" t="n"/>
      <c r="B172" s="4" t="n"/>
      <c r="C172" s="4" t="n"/>
      <c r="D172" s="4" t="n"/>
      <c r="E172" s="4" t="n"/>
      <c r="F172" s="13" t="n"/>
      <c r="G172" s="6" t="n"/>
      <c r="H172" s="14" t="n"/>
      <c r="I172" s="15">
        <f>IF(OR($A172="",$H172="",$G172=""),"",$H172*$G172/7*1.5)</f>
        <v/>
      </c>
      <c r="J172" s="6" t="n"/>
      <c r="K172" s="4" t="n"/>
    </row>
    <row r="173">
      <c r="A173" s="4" t="n"/>
      <c r="B173" s="4" t="n"/>
      <c r="C173" s="4" t="n"/>
      <c r="D173" s="4" t="n"/>
      <c r="E173" s="4" t="n"/>
      <c r="F173" s="13" t="n"/>
      <c r="G173" s="6" t="n"/>
      <c r="H173" s="14" t="n"/>
      <c r="I173" s="15">
        <f>IF(OR($A173="",$H173="",$G173=""),"",$H173*$G173/7*1.5)</f>
        <v/>
      </c>
      <c r="J173" s="6" t="n"/>
      <c r="K173" s="4" t="n"/>
    </row>
    <row r="174">
      <c r="A174" s="4" t="n"/>
      <c r="B174" s="4" t="n"/>
      <c r="C174" s="4" t="n"/>
      <c r="D174" s="4" t="n"/>
      <c r="E174" s="4" t="n"/>
      <c r="F174" s="13" t="n"/>
      <c r="G174" s="6" t="n"/>
      <c r="H174" s="14" t="n"/>
      <c r="I174" s="15">
        <f>IF(OR($A174="",$H174="",$G174=""),"",$H174*$G174/7*1.5)</f>
        <v/>
      </c>
      <c r="J174" s="6" t="n"/>
      <c r="K174" s="4" t="n"/>
    </row>
    <row r="175">
      <c r="A175" s="4" t="n"/>
      <c r="B175" s="4" t="n"/>
      <c r="C175" s="4" t="n"/>
      <c r="D175" s="4" t="n"/>
      <c r="E175" s="4" t="n"/>
      <c r="F175" s="13" t="n"/>
      <c r="G175" s="6" t="n"/>
      <c r="H175" s="14" t="n"/>
      <c r="I175" s="15">
        <f>IF(OR($A175="",$H175="",$G175=""),"",$H175*$G175/7*1.5)</f>
        <v/>
      </c>
      <c r="J175" s="6" t="n"/>
      <c r="K175" s="4" t="n"/>
    </row>
    <row r="176">
      <c r="A176" s="4" t="n"/>
      <c r="B176" s="4" t="n"/>
      <c r="C176" s="4" t="n"/>
      <c r="D176" s="4" t="n"/>
      <c r="E176" s="4" t="n"/>
      <c r="F176" s="13" t="n"/>
      <c r="G176" s="6" t="n"/>
      <c r="H176" s="14" t="n"/>
      <c r="I176" s="15">
        <f>IF(OR($A176="",$H176="",$G176=""),"",$H176*$G176/7*1.5)</f>
        <v/>
      </c>
      <c r="J176" s="6" t="n"/>
      <c r="K176" s="4" t="n"/>
    </row>
    <row r="177">
      <c r="A177" s="4" t="n"/>
      <c r="B177" s="4" t="n"/>
      <c r="C177" s="4" t="n"/>
      <c r="D177" s="4" t="n"/>
      <c r="E177" s="4" t="n"/>
      <c r="F177" s="13" t="n"/>
      <c r="G177" s="6" t="n"/>
      <c r="H177" s="14" t="n"/>
      <c r="I177" s="15">
        <f>IF(OR($A177="",$H177="",$G177=""),"",$H177*$G177/7*1.5)</f>
        <v/>
      </c>
      <c r="J177" s="6" t="n"/>
      <c r="K177" s="4" t="n"/>
    </row>
    <row r="178">
      <c r="A178" s="4" t="n"/>
      <c r="B178" s="4" t="n"/>
      <c r="C178" s="4" t="n"/>
      <c r="D178" s="4" t="n"/>
      <c r="E178" s="4" t="n"/>
      <c r="F178" s="13" t="n"/>
      <c r="G178" s="6" t="n"/>
      <c r="H178" s="14" t="n"/>
      <c r="I178" s="15">
        <f>IF(OR($A178="",$H178="",$G178=""),"",$H178*$G178/7*1.5)</f>
        <v/>
      </c>
      <c r="J178" s="6" t="n"/>
      <c r="K178" s="4" t="n"/>
    </row>
    <row r="179">
      <c r="A179" s="4" t="n"/>
      <c r="B179" s="4" t="n"/>
      <c r="C179" s="4" t="n"/>
      <c r="D179" s="4" t="n"/>
      <c r="E179" s="4" t="n"/>
      <c r="F179" s="13" t="n"/>
      <c r="G179" s="6" t="n"/>
      <c r="H179" s="14" t="n"/>
      <c r="I179" s="15">
        <f>IF(OR($A179="",$H179="",$G179=""),"",$H179*$G179/7*1.5)</f>
        <v/>
      </c>
      <c r="J179" s="6" t="n"/>
      <c r="K179" s="4" t="n"/>
    </row>
    <row r="180">
      <c r="A180" s="4" t="n"/>
      <c r="B180" s="4" t="n"/>
      <c r="C180" s="4" t="n"/>
      <c r="D180" s="4" t="n"/>
      <c r="E180" s="4" t="n"/>
      <c r="F180" s="13" t="n"/>
      <c r="G180" s="6" t="n"/>
      <c r="H180" s="14" t="n"/>
      <c r="I180" s="15">
        <f>IF(OR($A180="",$H180="",$G180=""),"",$H180*$G180/7*1.5)</f>
        <v/>
      </c>
      <c r="J180" s="6" t="n"/>
      <c r="K180" s="4" t="n"/>
    </row>
    <row r="181">
      <c r="A181" s="4" t="n"/>
      <c r="B181" s="4" t="n"/>
      <c r="C181" s="4" t="n"/>
      <c r="D181" s="4" t="n"/>
      <c r="E181" s="4" t="n"/>
      <c r="F181" s="13" t="n"/>
      <c r="G181" s="6" t="n"/>
      <c r="H181" s="14" t="n"/>
      <c r="I181" s="15">
        <f>IF(OR($A181="",$H181="",$G181=""),"",$H181*$G181/7*1.5)</f>
        <v/>
      </c>
      <c r="J181" s="6" t="n"/>
      <c r="K181" s="4" t="n"/>
    </row>
    <row r="182">
      <c r="A182" s="4" t="n"/>
      <c r="B182" s="4" t="n"/>
      <c r="C182" s="4" t="n"/>
      <c r="D182" s="4" t="n"/>
      <c r="E182" s="4" t="n"/>
      <c r="F182" s="13" t="n"/>
      <c r="G182" s="6" t="n"/>
      <c r="H182" s="14" t="n"/>
      <c r="I182" s="15">
        <f>IF(OR($A182="",$H182="",$G182=""),"",$H182*$G182/7*1.5)</f>
        <v/>
      </c>
      <c r="J182" s="6" t="n"/>
      <c r="K182" s="4" t="n"/>
    </row>
    <row r="183">
      <c r="A183" s="4" t="n"/>
      <c r="B183" s="4" t="n"/>
      <c r="C183" s="4" t="n"/>
      <c r="D183" s="4" t="n"/>
      <c r="E183" s="4" t="n"/>
      <c r="F183" s="13" t="n"/>
      <c r="G183" s="6" t="n"/>
      <c r="H183" s="14" t="n"/>
      <c r="I183" s="15">
        <f>IF(OR($A183="",$H183="",$G183=""),"",$H183*$G183/7*1.5)</f>
        <v/>
      </c>
      <c r="J183" s="6" t="n"/>
      <c r="K183" s="4" t="n"/>
    </row>
    <row r="184">
      <c r="A184" s="4" t="n"/>
      <c r="B184" s="4" t="n"/>
      <c r="C184" s="4" t="n"/>
      <c r="D184" s="4" t="n"/>
      <c r="E184" s="4" t="n"/>
      <c r="F184" s="13" t="n"/>
      <c r="G184" s="6" t="n"/>
      <c r="H184" s="14" t="n"/>
      <c r="I184" s="15">
        <f>IF(OR($A184="",$H184="",$G184=""),"",$H184*$G184/7*1.5)</f>
        <v/>
      </c>
      <c r="J184" s="6" t="n"/>
      <c r="K184" s="4" t="n"/>
    </row>
    <row r="185">
      <c r="A185" s="4" t="n"/>
      <c r="B185" s="4" t="n"/>
      <c r="C185" s="4" t="n"/>
      <c r="D185" s="4" t="n"/>
      <c r="E185" s="4" t="n"/>
      <c r="F185" s="13" t="n"/>
      <c r="G185" s="6" t="n"/>
      <c r="H185" s="14" t="n"/>
      <c r="I185" s="15">
        <f>IF(OR($A185="",$H185="",$G185=""),"",$H185*$G185/7*1.5)</f>
        <v/>
      </c>
      <c r="J185" s="6" t="n"/>
      <c r="K185" s="4" t="n"/>
    </row>
    <row r="186">
      <c r="A186" s="4" t="n"/>
      <c r="B186" s="4" t="n"/>
      <c r="C186" s="4" t="n"/>
      <c r="D186" s="4" t="n"/>
      <c r="E186" s="4" t="n"/>
      <c r="F186" s="13" t="n"/>
      <c r="G186" s="6" t="n"/>
      <c r="H186" s="14" t="n"/>
      <c r="I186" s="15">
        <f>IF(OR($A186="",$H186="",$G186=""),"",$H186*$G186/7*1.5)</f>
        <v/>
      </c>
      <c r="J186" s="6" t="n"/>
      <c r="K186" s="4" t="n"/>
    </row>
    <row r="187">
      <c r="A187" s="4" t="n"/>
      <c r="B187" s="4" t="n"/>
      <c r="C187" s="4" t="n"/>
      <c r="D187" s="4" t="n"/>
      <c r="E187" s="4" t="n"/>
      <c r="F187" s="13" t="n"/>
      <c r="G187" s="6" t="n"/>
      <c r="H187" s="14" t="n"/>
      <c r="I187" s="15">
        <f>IF(OR($A187="",$H187="",$G187=""),"",$H187*$G187/7*1.5)</f>
        <v/>
      </c>
      <c r="J187" s="6" t="n"/>
      <c r="K187" s="4" t="n"/>
    </row>
    <row r="188">
      <c r="A188" s="4" t="n"/>
      <c r="B188" s="4" t="n"/>
      <c r="C188" s="4" t="n"/>
      <c r="D188" s="4" t="n"/>
      <c r="E188" s="4" t="n"/>
      <c r="F188" s="13" t="n"/>
      <c r="G188" s="6" t="n"/>
      <c r="H188" s="14" t="n"/>
      <c r="I188" s="15">
        <f>IF(OR($A188="",$H188="",$G188=""),"",$H188*$G188/7*1.5)</f>
        <v/>
      </c>
      <c r="J188" s="6" t="n"/>
      <c r="K188" s="4" t="n"/>
    </row>
    <row r="189">
      <c r="A189" s="4" t="n"/>
      <c r="B189" s="4" t="n"/>
      <c r="C189" s="4" t="n"/>
      <c r="D189" s="4" t="n"/>
      <c r="E189" s="4" t="n"/>
      <c r="F189" s="13" t="n"/>
      <c r="G189" s="6" t="n"/>
      <c r="H189" s="14" t="n"/>
      <c r="I189" s="15">
        <f>IF(OR($A189="",$H189="",$G189=""),"",$H189*$G189/7*1.5)</f>
        <v/>
      </c>
      <c r="J189" s="6" t="n"/>
      <c r="K189" s="4" t="n"/>
    </row>
    <row r="190">
      <c r="A190" s="4" t="n"/>
      <c r="B190" s="4" t="n"/>
      <c r="C190" s="4" t="n"/>
      <c r="D190" s="4" t="n"/>
      <c r="E190" s="4" t="n"/>
      <c r="F190" s="13" t="n"/>
      <c r="G190" s="6" t="n"/>
      <c r="H190" s="14" t="n"/>
      <c r="I190" s="15">
        <f>IF(OR($A190="",$H190="",$G190=""),"",$H190*$G190/7*1.5)</f>
        <v/>
      </c>
      <c r="J190" s="6" t="n"/>
      <c r="K190" s="4" t="n"/>
    </row>
    <row r="191">
      <c r="A191" s="4" t="n"/>
      <c r="B191" s="4" t="n"/>
      <c r="C191" s="4" t="n"/>
      <c r="D191" s="4" t="n"/>
      <c r="E191" s="4" t="n"/>
      <c r="F191" s="13" t="n"/>
      <c r="G191" s="6" t="n"/>
      <c r="H191" s="14" t="n"/>
      <c r="I191" s="15">
        <f>IF(OR($A191="",$H191="",$G191=""),"",$H191*$G191/7*1.5)</f>
        <v/>
      </c>
      <c r="J191" s="6" t="n"/>
      <c r="K191" s="4" t="n"/>
    </row>
    <row r="192">
      <c r="A192" s="4" t="n"/>
      <c r="B192" s="4" t="n"/>
      <c r="C192" s="4" t="n"/>
      <c r="D192" s="4" t="n"/>
      <c r="E192" s="4" t="n"/>
      <c r="F192" s="13" t="n"/>
      <c r="G192" s="6" t="n"/>
      <c r="H192" s="14" t="n"/>
      <c r="I192" s="15">
        <f>IF(OR($A192="",$H192="",$G192=""),"",$H192*$G192/7*1.5)</f>
        <v/>
      </c>
      <c r="J192" s="6" t="n"/>
      <c r="K192" s="4" t="n"/>
    </row>
    <row r="193">
      <c r="A193" s="4" t="n"/>
      <c r="B193" s="4" t="n"/>
      <c r="C193" s="4" t="n"/>
      <c r="D193" s="4" t="n"/>
      <c r="E193" s="4" t="n"/>
      <c r="F193" s="13" t="n"/>
      <c r="G193" s="6" t="n"/>
      <c r="H193" s="14" t="n"/>
      <c r="I193" s="15">
        <f>IF(OR($A193="",$H193="",$G193=""),"",$H193*$G193/7*1.5)</f>
        <v/>
      </c>
      <c r="J193" s="6" t="n"/>
      <c r="K193" s="4" t="n"/>
    </row>
    <row r="194">
      <c r="A194" s="4" t="n"/>
      <c r="B194" s="4" t="n"/>
      <c r="C194" s="4" t="n"/>
      <c r="D194" s="4" t="n"/>
      <c r="E194" s="4" t="n"/>
      <c r="F194" s="13" t="n"/>
      <c r="G194" s="6" t="n"/>
      <c r="H194" s="14" t="n"/>
      <c r="I194" s="15">
        <f>IF(OR($A194="",$H194="",$G194=""),"",$H194*$G194/7*1.5)</f>
        <v/>
      </c>
      <c r="J194" s="6" t="n"/>
      <c r="K194" s="4" t="n"/>
    </row>
    <row r="195">
      <c r="A195" s="4" t="n"/>
      <c r="B195" s="4" t="n"/>
      <c r="C195" s="4" t="n"/>
      <c r="D195" s="4" t="n"/>
      <c r="E195" s="4" t="n"/>
      <c r="F195" s="13" t="n"/>
      <c r="G195" s="6" t="n"/>
      <c r="H195" s="14" t="n"/>
      <c r="I195" s="15">
        <f>IF(OR($A195="",$H195="",$G195=""),"",$H195*$G195/7*1.5)</f>
        <v/>
      </c>
      <c r="J195" s="6" t="n"/>
      <c r="K195" s="4" t="n"/>
    </row>
    <row r="196">
      <c r="A196" s="4" t="n"/>
      <c r="B196" s="4" t="n"/>
      <c r="C196" s="4" t="n"/>
      <c r="D196" s="4" t="n"/>
      <c r="E196" s="4" t="n"/>
      <c r="F196" s="13" t="n"/>
      <c r="G196" s="6" t="n"/>
      <c r="H196" s="14" t="n"/>
      <c r="I196" s="15">
        <f>IF(OR($A196="",$H196="",$G196=""),"",$H196*$G196/7*1.5)</f>
        <v/>
      </c>
      <c r="J196" s="6" t="n"/>
      <c r="K196" s="4" t="n"/>
    </row>
    <row r="197">
      <c r="A197" s="4" t="n"/>
      <c r="B197" s="4" t="n"/>
      <c r="C197" s="4" t="n"/>
      <c r="D197" s="4" t="n"/>
      <c r="E197" s="4" t="n"/>
      <c r="F197" s="13" t="n"/>
      <c r="G197" s="6" t="n"/>
      <c r="H197" s="14" t="n"/>
      <c r="I197" s="15">
        <f>IF(OR($A197="",$H197="",$G197=""),"",$H197*$G197/7*1.5)</f>
        <v/>
      </c>
      <c r="J197" s="6" t="n"/>
      <c r="K197" s="4" t="n"/>
    </row>
    <row r="198">
      <c r="A198" s="4" t="n"/>
      <c r="B198" s="4" t="n"/>
      <c r="C198" s="4" t="n"/>
      <c r="D198" s="4" t="n"/>
      <c r="E198" s="4" t="n"/>
      <c r="F198" s="13" t="n"/>
      <c r="G198" s="6" t="n"/>
      <c r="H198" s="14" t="n"/>
      <c r="I198" s="15">
        <f>IF(OR($A198="",$H198="",$G198=""),"",$H198*$G198/7*1.5)</f>
        <v/>
      </c>
      <c r="J198" s="6" t="n"/>
      <c r="K198" s="4" t="n"/>
    </row>
    <row r="199">
      <c r="A199" s="4" t="n"/>
      <c r="B199" s="4" t="n"/>
      <c r="C199" s="4" t="n"/>
      <c r="D199" s="4" t="n"/>
      <c r="E199" s="4" t="n"/>
      <c r="F199" s="13" t="n"/>
      <c r="G199" s="6" t="n"/>
      <c r="H199" s="14" t="n"/>
      <c r="I199" s="15">
        <f>IF(OR($A199="",$H199="",$G199=""),"",$H199*$G199/7*1.5)</f>
        <v/>
      </c>
      <c r="J199" s="6" t="n"/>
      <c r="K199" s="4" t="n"/>
    </row>
    <row r="200">
      <c r="A200" s="4" t="n"/>
      <c r="B200" s="4" t="n"/>
      <c r="C200" s="4" t="n"/>
      <c r="D200" s="4" t="n"/>
      <c r="E200" s="4" t="n"/>
      <c r="F200" s="13" t="n"/>
      <c r="G200" s="6" t="n"/>
      <c r="H200" s="14" t="n"/>
      <c r="I200" s="15">
        <f>IF(OR($A200="",$H200="",$G200=""),"",$H200*$G200/7*1.5)</f>
        <v/>
      </c>
      <c r="J200" s="6" t="n"/>
      <c r="K200" s="4" t="n"/>
    </row>
    <row r="201">
      <c r="A201" s="4" t="n"/>
      <c r="B201" s="4" t="n"/>
      <c r="C201" s="4" t="n"/>
      <c r="D201" s="4" t="n"/>
      <c r="E201" s="4" t="n"/>
      <c r="F201" s="13" t="n"/>
      <c r="G201" s="6" t="n"/>
      <c r="H201" s="14" t="n"/>
      <c r="I201" s="15">
        <f>IF(OR($A201="",$H201="",$G201=""),"",$H201*$G201/7*1.5)</f>
        <v/>
      </c>
      <c r="J201" s="6" t="n"/>
      <c r="K201" s="4" t="n"/>
    </row>
    <row r="202">
      <c r="A202" s="4" t="n"/>
      <c r="B202" s="4" t="n"/>
      <c r="C202" s="4" t="n"/>
      <c r="D202" s="4" t="n"/>
      <c r="E202" s="4" t="n"/>
      <c r="F202" s="13" t="n"/>
      <c r="G202" s="6" t="n"/>
      <c r="H202" s="14" t="n"/>
      <c r="I202" s="15">
        <f>IF(OR($A202="",$H202="",$G202=""),"",$H202*$G202/7*1.5)</f>
        <v/>
      </c>
      <c r="J202" s="6" t="n"/>
      <c r="K202" s="4" t="n"/>
    </row>
    <row r="203">
      <c r="A203" s="2" t="inlineStr">
        <is>
          <t>An item stocked at two branches takes two rows with the same code, each with its own usage and minimum.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K202"/>
  <mergeCells count="1">
    <mergeCell ref="A1:K1"/>
  </mergeCells>
  <dataValidations count="3">
    <dataValidation sqref="C3:C202" showDropDown="0" showInputMessage="0" showErrorMessage="0" allowBlank="1" errorTitle="Not in the list" error="Pick from the list." type="list">
      <formula1>=Categories</formula1>
    </dataValidation>
    <dataValidation sqref="E3:E202" showDropDown="0" showInputMessage="0" showErrorMessage="0" allowBlank="1" errorTitle="Not in the list" error="Pick from the list." type="list">
      <formula1>=Suppliers</formula1>
    </dataValidation>
    <dataValidation sqref="K3:K202" showDropDown="0" showInputMessage="0" showErrorMessage="0" allowBlank="1" errorTitle="Not in the list" error="Pick from the list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C9A227"/>
    <outlinePr summaryBelow="1" summaryRight="1"/>
    <pageSetUpPr fitToPage="1"/>
  </sheetPr>
  <dimension ref="A1:J3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2" customWidth="1" min="4" max="4"/>
    <col width="11" customWidth="1" min="5" max="5"/>
    <col width="12" customWidth="1" min="6" max="6"/>
    <col width="14" customWidth="1" min="7" max="7"/>
    <col width="10" customWidth="1" min="8" max="8"/>
    <col width="11" customWidth="1" min="9" max="9"/>
    <col width="12" customWidth="1" min="10" max="10"/>
  </cols>
  <sheetData>
    <row r="1" ht="22" customHeight="1">
      <c r="A1" s="12" t="inlineStr">
        <is>
          <t>Sample data: delete it and start. How to clear it is on the How to use sheet.</t>
        </is>
      </c>
    </row>
    <row r="2" ht="32" customHeight="1">
      <c r="A2" s="7" t="inlineStr">
        <is>
          <t>Item code</t>
        </is>
      </c>
      <c r="B2" s="7" t="inlineStr">
        <is>
          <t>Item</t>
        </is>
      </c>
      <c r="C2" s="7" t="inlineStr">
        <is>
          <t>Batch no.</t>
        </is>
      </c>
      <c r="D2" s="7" t="inlineStr">
        <is>
          <t>Expiry</t>
        </is>
      </c>
      <c r="E2" s="7" t="inlineStr">
        <is>
          <t>Quantity received</t>
        </is>
      </c>
      <c r="F2" s="7" t="inlineStr">
        <is>
          <t>Received on</t>
        </is>
      </c>
      <c r="G2" s="7" t="inlineStr">
        <is>
          <t>Branch</t>
        </is>
      </c>
      <c r="H2" s="7" t="inlineStr">
        <is>
          <t>Remaining</t>
        </is>
      </c>
      <c r="I2" s="7" t="inlineStr">
        <is>
          <t>Days to expiry</t>
        </is>
      </c>
      <c r="J2" s="7" t="inlineStr">
        <is>
          <t>Sort key</t>
        </is>
      </c>
    </row>
    <row r="3">
      <c r="A3" s="4" t="inlineStr">
        <is>
          <t>INV-001</t>
        </is>
      </c>
      <c r="B3" s="8">
        <f>IF($A3="","",IFERROR(INDEX('Items'!$B$3:$B$202,MATCH($A3,'Items'!$A$3:$A$202,0)),""))</f>
        <v/>
      </c>
      <c r="C3" s="4" t="inlineStr">
        <is>
          <t>L5032</t>
        </is>
      </c>
      <c r="D3" s="5" t="n">
        <v>47146</v>
      </c>
      <c r="E3" s="6" t="n">
        <v>12</v>
      </c>
      <c r="F3" s="5" t="n">
        <v>46226</v>
      </c>
      <c r="G3" s="4" t="inlineStr">
        <is>
          <t>Main branch</t>
        </is>
      </c>
      <c r="H3" s="16">
        <f>IF($A3="","",$E3-SUMIFS('Movements'!$F$3:$F$1002,'Movements'!$B$3:$B$1002,$A3,'Movements'!$D$3:$D$1002,$C3,'Movements'!$E$3:$E$1002,"Out")-SUMIFS('Movements'!$F$3:$F$1002,'Movements'!$B$3:$B$1002,$A3,'Movements'!$D$3:$D$1002,$C3,'Movements'!$E$3:$E$1002,"Waste")+SUMIFS('Movements'!$F$3:$F$1002,'Movements'!$B$3:$B$1002,$A3,'Movements'!$D$3:$D$1002,$C3,'Movements'!$E$3:$E$1002,"In"))</f>
        <v/>
      </c>
      <c r="I3" s="16">
        <f>IF(OR($A3="",$D3=""),"",$D3-'Settings'!$B$6)</f>
        <v/>
      </c>
      <c r="J3" s="8">
        <f>IF(OR($A3="",$D3=""),"",IF($H3&gt;0,$D3+ROW()/100000,""))</f>
        <v/>
      </c>
    </row>
    <row r="4">
      <c r="A4" s="4" t="inlineStr">
        <is>
          <t>INV-001</t>
        </is>
      </c>
      <c r="B4" s="8">
        <f>IF($A4="","",IFERROR(INDEX('Items'!$B$3:$B$202,MATCH($A4,'Items'!$A$3:$A$202,0)),""))</f>
        <v/>
      </c>
      <c r="C4" s="4" t="inlineStr">
        <is>
          <t>L5068</t>
        </is>
      </c>
      <c r="D4" s="5" t="n">
        <v>47205</v>
      </c>
      <c r="E4" s="6" t="n">
        <v>27</v>
      </c>
      <c r="F4" s="5" t="n">
        <v>46249</v>
      </c>
      <c r="G4" s="4" t="inlineStr">
        <is>
          <t>Main branch</t>
        </is>
      </c>
      <c r="H4" s="16">
        <f>IF($A4="","",$E4-SUMIFS('Movements'!$F$3:$F$1002,'Movements'!$B$3:$B$1002,$A4,'Movements'!$D$3:$D$1002,$C4,'Movements'!$E$3:$E$1002,"Out")-SUMIFS('Movements'!$F$3:$F$1002,'Movements'!$B$3:$B$1002,$A4,'Movements'!$D$3:$D$1002,$C4,'Movements'!$E$3:$E$1002,"Waste")+SUMIFS('Movements'!$F$3:$F$1002,'Movements'!$B$3:$B$1002,$A4,'Movements'!$D$3:$D$1002,$C4,'Movements'!$E$3:$E$1002,"In"))</f>
        <v/>
      </c>
      <c r="I4" s="16">
        <f>IF(OR($A4="",$D4=""),"",$D4-'Settings'!$B$6)</f>
        <v/>
      </c>
      <c r="J4" s="8">
        <f>IF(OR($A4="",$D4=""),"",IF($H4&gt;0,$D4+ROW()/100000,""))</f>
        <v/>
      </c>
    </row>
    <row r="5">
      <c r="A5" s="4" t="inlineStr">
        <is>
          <t>INV-001</t>
        </is>
      </c>
      <c r="B5" s="8">
        <f>IF($A5="","",IFERROR(INDEX('Items'!$B$3:$B$202,MATCH($A5,'Items'!$A$3:$A$202,0)),""))</f>
        <v/>
      </c>
      <c r="C5" s="4" t="inlineStr">
        <is>
          <t>L5091</t>
        </is>
      </c>
      <c r="D5" s="5" t="n">
        <v>47266</v>
      </c>
      <c r="E5" s="6" t="n">
        <v>28</v>
      </c>
      <c r="F5" s="5" t="n">
        <v>46280</v>
      </c>
      <c r="G5" s="4" t="inlineStr">
        <is>
          <t>Main branch</t>
        </is>
      </c>
      <c r="H5" s="16">
        <f>IF($A5="","",$E5-SUMIFS('Movements'!$F$3:$F$1002,'Movements'!$B$3:$B$1002,$A5,'Movements'!$D$3:$D$1002,$C5,'Movements'!$E$3:$E$1002,"Out")-SUMIFS('Movements'!$F$3:$F$1002,'Movements'!$B$3:$B$1002,$A5,'Movements'!$D$3:$D$1002,$C5,'Movements'!$E$3:$E$1002,"Waste")+SUMIFS('Movements'!$F$3:$F$1002,'Movements'!$B$3:$B$1002,$A5,'Movements'!$D$3:$D$1002,$C5,'Movements'!$E$3:$E$1002,"In"))</f>
        <v/>
      </c>
      <c r="I5" s="16">
        <f>IF(OR($A5="",$D5=""),"",$D5-'Settings'!$B$6)</f>
        <v/>
      </c>
      <c r="J5" s="8">
        <f>IF(OR($A5="",$D5=""),"",IF($H5&gt;0,$D5+ROW()/100000,""))</f>
        <v/>
      </c>
    </row>
    <row r="6">
      <c r="A6" s="4" t="inlineStr">
        <is>
          <t>INV-002</t>
        </is>
      </c>
      <c r="B6" s="8">
        <f>IF($A6="","",IFERROR(INDEX('Items'!$B$3:$B$202,MATCH($A6,'Items'!$A$3:$A$202,0)),""))</f>
        <v/>
      </c>
      <c r="C6" s="4" t="inlineStr">
        <is>
          <t>L5159</t>
        </is>
      </c>
      <c r="D6" s="5" t="n">
        <v>47146</v>
      </c>
      <c r="E6" s="6" t="n">
        <v>7</v>
      </c>
      <c r="F6" s="5" t="n">
        <v>46231</v>
      </c>
      <c r="G6" s="4" t="inlineStr">
        <is>
          <t>Main branch</t>
        </is>
      </c>
      <c r="H6" s="16">
        <f>IF($A6="","",$E6-SUMIFS('Movements'!$F$3:$F$1002,'Movements'!$B$3:$B$1002,$A6,'Movements'!$D$3:$D$1002,$C6,'Movements'!$E$3:$E$1002,"Out")-SUMIFS('Movements'!$F$3:$F$1002,'Movements'!$B$3:$B$1002,$A6,'Movements'!$D$3:$D$1002,$C6,'Movements'!$E$3:$E$1002,"Waste")+SUMIFS('Movements'!$F$3:$F$1002,'Movements'!$B$3:$B$1002,$A6,'Movements'!$D$3:$D$1002,$C6,'Movements'!$E$3:$E$1002,"In"))</f>
        <v/>
      </c>
      <c r="I6" s="16">
        <f>IF(OR($A6="",$D6=""),"",$D6-'Settings'!$B$6)</f>
        <v/>
      </c>
      <c r="J6" s="8">
        <f>IF(OR($A6="",$D6=""),"",IF($H6&gt;0,$D6+ROW()/100000,""))</f>
        <v/>
      </c>
    </row>
    <row r="7">
      <c r="A7" s="4" t="inlineStr">
        <is>
          <t>INV-002</t>
        </is>
      </c>
      <c r="B7" s="8">
        <f>IF($A7="","",IFERROR(INDEX('Items'!$B$3:$B$202,MATCH($A7,'Items'!$A$3:$A$202,0)),""))</f>
        <v/>
      </c>
      <c r="C7" s="4" t="inlineStr">
        <is>
          <t>L5216</t>
        </is>
      </c>
      <c r="D7" s="5" t="n">
        <v>47205</v>
      </c>
      <c r="E7" s="6" t="n">
        <v>14</v>
      </c>
      <c r="F7" s="5" t="n">
        <v>46247</v>
      </c>
      <c r="G7" s="4" t="inlineStr">
        <is>
          <t>Main branch</t>
        </is>
      </c>
      <c r="H7" s="16">
        <f>IF($A7="","",$E7-SUMIFS('Movements'!$F$3:$F$1002,'Movements'!$B$3:$B$1002,$A7,'Movements'!$D$3:$D$1002,$C7,'Movements'!$E$3:$E$1002,"Out")-SUMIFS('Movements'!$F$3:$F$1002,'Movements'!$B$3:$B$1002,$A7,'Movements'!$D$3:$D$1002,$C7,'Movements'!$E$3:$E$1002,"Waste")+SUMIFS('Movements'!$F$3:$F$1002,'Movements'!$B$3:$B$1002,$A7,'Movements'!$D$3:$D$1002,$C7,'Movements'!$E$3:$E$1002,"In"))</f>
        <v/>
      </c>
      <c r="I7" s="16">
        <f>IF(OR($A7="",$D7=""),"",$D7-'Settings'!$B$6)</f>
        <v/>
      </c>
      <c r="J7" s="8">
        <f>IF(OR($A7="",$D7=""),"",IF($H7&gt;0,$D7+ROW()/100000,""))</f>
        <v/>
      </c>
    </row>
    <row r="8">
      <c r="A8" s="4" t="inlineStr">
        <is>
          <t>INV-002</t>
        </is>
      </c>
      <c r="B8" s="8">
        <f>IF($A8="","",IFERROR(INDEX('Items'!$B$3:$B$202,MATCH($A8,'Items'!$A$3:$A$202,0)),""))</f>
        <v/>
      </c>
      <c r="C8" s="4" t="inlineStr">
        <is>
          <t>L5293</t>
        </is>
      </c>
      <c r="D8" s="5" t="n">
        <v>47266</v>
      </c>
      <c r="E8" s="6" t="n">
        <v>21</v>
      </c>
      <c r="F8" s="5" t="n">
        <v>46273</v>
      </c>
      <c r="G8" s="4" t="inlineStr">
        <is>
          <t>Main branch</t>
        </is>
      </c>
      <c r="H8" s="16">
        <f>IF($A8="","",$E8-SUMIFS('Movements'!$F$3:$F$1002,'Movements'!$B$3:$B$1002,$A8,'Movements'!$D$3:$D$1002,$C8,'Movements'!$E$3:$E$1002,"Out")-SUMIFS('Movements'!$F$3:$F$1002,'Movements'!$B$3:$B$1002,$A8,'Movements'!$D$3:$D$1002,$C8,'Movements'!$E$3:$E$1002,"Waste")+SUMIFS('Movements'!$F$3:$F$1002,'Movements'!$B$3:$B$1002,$A8,'Movements'!$D$3:$D$1002,$C8,'Movements'!$E$3:$E$1002,"In"))</f>
        <v/>
      </c>
      <c r="I8" s="16">
        <f>IF(OR($A8="",$D8=""),"",$D8-'Settings'!$B$6)</f>
        <v/>
      </c>
      <c r="J8" s="8">
        <f>IF(OR($A8="",$D8=""),"",IF($H8&gt;0,$D8+ROW()/100000,""))</f>
        <v/>
      </c>
    </row>
    <row r="9">
      <c r="A9" s="4" t="inlineStr">
        <is>
          <t>INV-003</t>
        </is>
      </c>
      <c r="B9" s="8">
        <f>IF($A9="","",IFERROR(INDEX('Items'!$B$3:$B$202,MATCH($A9,'Items'!$A$3:$A$202,0)),""))</f>
        <v/>
      </c>
      <c r="C9" s="4" t="inlineStr">
        <is>
          <t>L5358</t>
        </is>
      </c>
      <c r="D9" s="5" t="n">
        <v>47146</v>
      </c>
      <c r="E9" s="6" t="n">
        <v>9</v>
      </c>
      <c r="F9" s="5" t="n">
        <v>46223</v>
      </c>
      <c r="G9" s="4" t="inlineStr">
        <is>
          <t>Main branch</t>
        </is>
      </c>
      <c r="H9" s="16">
        <f>IF($A9="","",$E9-SUMIFS('Movements'!$F$3:$F$1002,'Movements'!$B$3:$B$1002,$A9,'Movements'!$D$3:$D$1002,$C9,'Movements'!$E$3:$E$1002,"Out")-SUMIFS('Movements'!$F$3:$F$1002,'Movements'!$B$3:$B$1002,$A9,'Movements'!$D$3:$D$1002,$C9,'Movements'!$E$3:$E$1002,"Waste")+SUMIFS('Movements'!$F$3:$F$1002,'Movements'!$B$3:$B$1002,$A9,'Movements'!$D$3:$D$1002,$C9,'Movements'!$E$3:$E$1002,"In"))</f>
        <v/>
      </c>
      <c r="I9" s="16">
        <f>IF(OR($A9="",$D9=""),"",$D9-'Settings'!$B$6)</f>
        <v/>
      </c>
      <c r="J9" s="8">
        <f>IF(OR($A9="",$D9=""),"",IF($H9&gt;0,$D9+ROW()/100000,""))</f>
        <v/>
      </c>
    </row>
    <row r="10">
      <c r="A10" s="4" t="inlineStr">
        <is>
          <t>INV-003</t>
        </is>
      </c>
      <c r="B10" s="8">
        <f>IF($A10="","",IFERROR(INDEX('Items'!$B$3:$B$202,MATCH($A10,'Items'!$A$3:$A$202,0)),""))</f>
        <v/>
      </c>
      <c r="C10" s="4" t="inlineStr">
        <is>
          <t>L5441</t>
        </is>
      </c>
      <c r="D10" s="5" t="n">
        <v>47205</v>
      </c>
      <c r="E10" s="6" t="n">
        <v>20</v>
      </c>
      <c r="F10" s="5" t="n">
        <v>46252</v>
      </c>
      <c r="G10" s="4" t="inlineStr">
        <is>
          <t>Main branch</t>
        </is>
      </c>
      <c r="H10" s="16">
        <f>IF($A10="","",$E10-SUMIFS('Movements'!$F$3:$F$1002,'Movements'!$B$3:$B$1002,$A10,'Movements'!$D$3:$D$1002,$C10,'Movements'!$E$3:$E$1002,"Out")-SUMIFS('Movements'!$F$3:$F$1002,'Movements'!$B$3:$B$1002,$A10,'Movements'!$D$3:$D$1002,$C10,'Movements'!$E$3:$E$1002,"Waste")+SUMIFS('Movements'!$F$3:$F$1002,'Movements'!$B$3:$B$1002,$A10,'Movements'!$D$3:$D$1002,$C10,'Movements'!$E$3:$E$1002,"In"))</f>
        <v/>
      </c>
      <c r="I10" s="16">
        <f>IF(OR($A10="",$D10=""),"",$D10-'Settings'!$B$6)</f>
        <v/>
      </c>
      <c r="J10" s="8">
        <f>IF(OR($A10="",$D10=""),"",IF($H10&gt;0,$D10+ROW()/100000,""))</f>
        <v/>
      </c>
    </row>
    <row r="11">
      <c r="A11" s="4" t="inlineStr">
        <is>
          <t>INV-003</t>
        </is>
      </c>
      <c r="B11" s="8">
        <f>IF($A11="","",IFERROR(INDEX('Items'!$B$3:$B$202,MATCH($A11,'Items'!$A$3:$A$202,0)),""))</f>
        <v/>
      </c>
      <c r="C11" s="4" t="inlineStr">
        <is>
          <t>L5478</t>
        </is>
      </c>
      <c r="D11" s="5" t="n">
        <v>47266</v>
      </c>
      <c r="E11" s="6" t="n">
        <v>24</v>
      </c>
      <c r="F11" s="5" t="n">
        <v>46276</v>
      </c>
      <c r="G11" s="4" t="inlineStr">
        <is>
          <t>Main branch</t>
        </is>
      </c>
      <c r="H11" s="16">
        <f>IF($A11="","",$E11-SUMIFS('Movements'!$F$3:$F$1002,'Movements'!$B$3:$B$1002,$A11,'Movements'!$D$3:$D$1002,$C11,'Movements'!$E$3:$E$1002,"Out")-SUMIFS('Movements'!$F$3:$F$1002,'Movements'!$B$3:$B$1002,$A11,'Movements'!$D$3:$D$1002,$C11,'Movements'!$E$3:$E$1002,"Waste")+SUMIFS('Movements'!$F$3:$F$1002,'Movements'!$B$3:$B$1002,$A11,'Movements'!$D$3:$D$1002,$C11,'Movements'!$E$3:$E$1002,"In"))</f>
        <v/>
      </c>
      <c r="I11" s="16">
        <f>IF(OR($A11="",$D11=""),"",$D11-'Settings'!$B$6)</f>
        <v/>
      </c>
      <c r="J11" s="8">
        <f>IF(OR($A11="",$D11=""),"",IF($H11&gt;0,$D11+ROW()/100000,""))</f>
        <v/>
      </c>
    </row>
    <row r="12">
      <c r="A12" s="4" t="inlineStr">
        <is>
          <t>INV-004</t>
        </is>
      </c>
      <c r="B12" s="8">
        <f>IF($A12="","",IFERROR(INDEX('Items'!$B$3:$B$202,MATCH($A12,'Items'!$A$3:$A$202,0)),""))</f>
        <v/>
      </c>
      <c r="C12" s="4" t="inlineStr">
        <is>
          <t>L5527</t>
        </is>
      </c>
      <c r="D12" s="5" t="n">
        <v>47146</v>
      </c>
      <c r="E12" s="6" t="n">
        <v>12</v>
      </c>
      <c r="F12" s="5" t="n">
        <v>46232</v>
      </c>
      <c r="G12" s="4" t="inlineStr">
        <is>
          <t>Main branch</t>
        </is>
      </c>
      <c r="H12" s="16">
        <f>IF($A12="","",$E12-SUMIFS('Movements'!$F$3:$F$1002,'Movements'!$B$3:$B$1002,$A12,'Movements'!$D$3:$D$1002,$C12,'Movements'!$E$3:$E$1002,"Out")-SUMIFS('Movements'!$F$3:$F$1002,'Movements'!$B$3:$B$1002,$A12,'Movements'!$D$3:$D$1002,$C12,'Movements'!$E$3:$E$1002,"Waste")+SUMIFS('Movements'!$F$3:$F$1002,'Movements'!$B$3:$B$1002,$A12,'Movements'!$D$3:$D$1002,$C12,'Movements'!$E$3:$E$1002,"In"))</f>
        <v/>
      </c>
      <c r="I12" s="16">
        <f>IF(OR($A12="",$D12=""),"",$D12-'Settings'!$B$6)</f>
        <v/>
      </c>
      <c r="J12" s="8">
        <f>IF(OR($A12="",$D12=""),"",IF($H12&gt;0,$D12+ROW()/100000,""))</f>
        <v/>
      </c>
    </row>
    <row r="13">
      <c r="A13" s="4" t="inlineStr">
        <is>
          <t>INV-004</t>
        </is>
      </c>
      <c r="B13" s="8">
        <f>IF($A13="","",IFERROR(INDEX('Items'!$B$3:$B$202,MATCH($A13,'Items'!$A$3:$A$202,0)),""))</f>
        <v/>
      </c>
      <c r="C13" s="4" t="inlineStr">
        <is>
          <t>L5610</t>
        </is>
      </c>
      <c r="D13" s="5" t="n">
        <v>47205</v>
      </c>
      <c r="E13" s="6" t="n">
        <v>22</v>
      </c>
      <c r="F13" s="5" t="n">
        <v>46250</v>
      </c>
      <c r="G13" s="4" t="inlineStr">
        <is>
          <t>Main branch</t>
        </is>
      </c>
      <c r="H13" s="16">
        <f>IF($A13="","",$E13-SUMIFS('Movements'!$F$3:$F$1002,'Movements'!$B$3:$B$1002,$A13,'Movements'!$D$3:$D$1002,$C13,'Movements'!$E$3:$E$1002,"Out")-SUMIFS('Movements'!$F$3:$F$1002,'Movements'!$B$3:$B$1002,$A13,'Movements'!$D$3:$D$1002,$C13,'Movements'!$E$3:$E$1002,"Waste")+SUMIFS('Movements'!$F$3:$F$1002,'Movements'!$B$3:$B$1002,$A13,'Movements'!$D$3:$D$1002,$C13,'Movements'!$E$3:$E$1002,"In"))</f>
        <v/>
      </c>
      <c r="I13" s="16">
        <f>IF(OR($A13="",$D13=""),"",$D13-'Settings'!$B$6)</f>
        <v/>
      </c>
      <c r="J13" s="8">
        <f>IF(OR($A13="",$D13=""),"",IF($H13&gt;0,$D13+ROW()/100000,""))</f>
        <v/>
      </c>
    </row>
    <row r="14">
      <c r="A14" s="4" t="inlineStr">
        <is>
          <t>INV-004</t>
        </is>
      </c>
      <c r="B14" s="8">
        <f>IF($A14="","",IFERROR(INDEX('Items'!$B$3:$B$202,MATCH($A14,'Items'!$A$3:$A$202,0)),""))</f>
        <v/>
      </c>
      <c r="C14" s="4" t="inlineStr">
        <is>
          <t>L5637</t>
        </is>
      </c>
      <c r="D14" s="5" t="n">
        <v>47266</v>
      </c>
      <c r="E14" s="6" t="n">
        <v>27</v>
      </c>
      <c r="F14" s="5" t="n">
        <v>46280</v>
      </c>
      <c r="G14" s="4" t="inlineStr">
        <is>
          <t>Main branch</t>
        </is>
      </c>
      <c r="H14" s="16">
        <f>IF($A14="","",$E14-SUMIFS('Movements'!$F$3:$F$1002,'Movements'!$B$3:$B$1002,$A14,'Movements'!$D$3:$D$1002,$C14,'Movements'!$E$3:$E$1002,"Out")-SUMIFS('Movements'!$F$3:$F$1002,'Movements'!$B$3:$B$1002,$A14,'Movements'!$D$3:$D$1002,$C14,'Movements'!$E$3:$E$1002,"Waste")+SUMIFS('Movements'!$F$3:$F$1002,'Movements'!$B$3:$B$1002,$A14,'Movements'!$D$3:$D$1002,$C14,'Movements'!$E$3:$E$1002,"In"))</f>
        <v/>
      </c>
      <c r="I14" s="16">
        <f>IF(OR($A14="",$D14=""),"",$D14-'Settings'!$B$6)</f>
        <v/>
      </c>
      <c r="J14" s="8">
        <f>IF(OR($A14="",$D14=""),"",IF($H14&gt;0,$D14+ROW()/100000,""))</f>
        <v/>
      </c>
    </row>
    <row r="15">
      <c r="A15" s="4" t="inlineStr">
        <is>
          <t>INV-005</t>
        </is>
      </c>
      <c r="B15" s="8">
        <f>IF($A15="","",IFERROR(INDEX('Items'!$B$3:$B$202,MATCH($A15,'Items'!$A$3:$A$202,0)),""))</f>
        <v/>
      </c>
      <c r="C15" s="4" t="inlineStr">
        <is>
          <t>L5648</t>
        </is>
      </c>
      <c r="D15" s="5" t="n">
        <v>47146</v>
      </c>
      <c r="E15" s="6" t="n">
        <v>4</v>
      </c>
      <c r="F15" s="5" t="n">
        <v>46227</v>
      </c>
      <c r="G15" s="4" t="inlineStr">
        <is>
          <t>Main branch</t>
        </is>
      </c>
      <c r="H15" s="16">
        <f>IF($A15="","",$E15-SUMIFS('Movements'!$F$3:$F$1002,'Movements'!$B$3:$B$1002,$A15,'Movements'!$D$3:$D$1002,$C15,'Movements'!$E$3:$E$1002,"Out")-SUMIFS('Movements'!$F$3:$F$1002,'Movements'!$B$3:$B$1002,$A15,'Movements'!$D$3:$D$1002,$C15,'Movements'!$E$3:$E$1002,"Waste")+SUMIFS('Movements'!$F$3:$F$1002,'Movements'!$B$3:$B$1002,$A15,'Movements'!$D$3:$D$1002,$C15,'Movements'!$E$3:$E$1002,"In"))</f>
        <v/>
      </c>
      <c r="I15" s="16">
        <f>IF(OR($A15="",$D15=""),"",$D15-'Settings'!$B$6)</f>
        <v/>
      </c>
      <c r="J15" s="8">
        <f>IF(OR($A15="",$D15=""),"",IF($H15&gt;0,$D15+ROW()/100000,""))</f>
        <v/>
      </c>
    </row>
    <row r="16">
      <c r="A16" s="4" t="inlineStr">
        <is>
          <t>INV-005</t>
        </is>
      </c>
      <c r="B16" s="8">
        <f>IF($A16="","",IFERROR(INDEX('Items'!$B$3:$B$202,MATCH($A16,'Items'!$A$3:$A$202,0)),""))</f>
        <v/>
      </c>
      <c r="C16" s="4" t="inlineStr">
        <is>
          <t>L5721</t>
        </is>
      </c>
      <c r="D16" s="5" t="n">
        <v>47205</v>
      </c>
      <c r="E16" s="6" t="n">
        <v>14</v>
      </c>
      <c r="F16" s="5" t="n">
        <v>46246</v>
      </c>
      <c r="G16" s="4" t="inlineStr">
        <is>
          <t>Main branch</t>
        </is>
      </c>
      <c r="H16" s="16">
        <f>IF($A16="","",$E16-SUMIFS('Movements'!$F$3:$F$1002,'Movements'!$B$3:$B$1002,$A16,'Movements'!$D$3:$D$1002,$C16,'Movements'!$E$3:$E$1002,"Out")-SUMIFS('Movements'!$F$3:$F$1002,'Movements'!$B$3:$B$1002,$A16,'Movements'!$D$3:$D$1002,$C16,'Movements'!$E$3:$E$1002,"Waste")+SUMIFS('Movements'!$F$3:$F$1002,'Movements'!$B$3:$B$1002,$A16,'Movements'!$D$3:$D$1002,$C16,'Movements'!$E$3:$E$1002,"In"))</f>
        <v/>
      </c>
      <c r="I16" s="16">
        <f>IF(OR($A16="",$D16=""),"",$D16-'Settings'!$B$6)</f>
        <v/>
      </c>
      <c r="J16" s="8">
        <f>IF(OR($A16="",$D16=""),"",IF($H16&gt;0,$D16+ROW()/100000,""))</f>
        <v/>
      </c>
    </row>
    <row r="17">
      <c r="A17" s="4" t="inlineStr">
        <is>
          <t>INV-005</t>
        </is>
      </c>
      <c r="B17" s="8">
        <f>IF($A17="","",IFERROR(INDEX('Items'!$B$3:$B$202,MATCH($A17,'Items'!$A$3:$A$202,0)),""))</f>
        <v/>
      </c>
      <c r="C17" s="4" t="inlineStr">
        <is>
          <t>L5778</t>
        </is>
      </c>
      <c r="D17" s="5" t="n">
        <v>47266</v>
      </c>
      <c r="E17" s="6" t="n">
        <v>12</v>
      </c>
      <c r="F17" s="5" t="n">
        <v>46273</v>
      </c>
      <c r="G17" s="4" t="inlineStr">
        <is>
          <t>Main branch</t>
        </is>
      </c>
      <c r="H17" s="16">
        <f>IF($A17="","",$E17-SUMIFS('Movements'!$F$3:$F$1002,'Movements'!$B$3:$B$1002,$A17,'Movements'!$D$3:$D$1002,$C17,'Movements'!$E$3:$E$1002,"Out")-SUMIFS('Movements'!$F$3:$F$1002,'Movements'!$B$3:$B$1002,$A17,'Movements'!$D$3:$D$1002,$C17,'Movements'!$E$3:$E$1002,"Waste")+SUMIFS('Movements'!$F$3:$F$1002,'Movements'!$B$3:$B$1002,$A17,'Movements'!$D$3:$D$1002,$C17,'Movements'!$E$3:$E$1002,"In"))</f>
        <v/>
      </c>
      <c r="I17" s="16">
        <f>IF(OR($A17="",$D17=""),"",$D17-'Settings'!$B$6)</f>
        <v/>
      </c>
      <c r="J17" s="8">
        <f>IF(OR($A17="",$D17=""),"",IF($H17&gt;0,$D17+ROW()/100000,""))</f>
        <v/>
      </c>
    </row>
    <row r="18">
      <c r="A18" s="4" t="inlineStr">
        <is>
          <t>INV-006</t>
        </is>
      </c>
      <c r="B18" s="8">
        <f>IF($A18="","",IFERROR(INDEX('Items'!$B$3:$B$202,MATCH($A18,'Items'!$A$3:$A$202,0)),""))</f>
        <v/>
      </c>
      <c r="C18" s="4" t="inlineStr">
        <is>
          <t>L5837</t>
        </is>
      </c>
      <c r="D18" s="5" t="n">
        <v>47146</v>
      </c>
      <c r="E18" s="6" t="n">
        <v>4</v>
      </c>
      <c r="F18" s="5" t="n">
        <v>46230</v>
      </c>
      <c r="G18" s="4" t="inlineStr">
        <is>
          <t>Main branch</t>
        </is>
      </c>
      <c r="H18" s="16">
        <f>IF($A18="","",$E18-SUMIFS('Movements'!$F$3:$F$1002,'Movements'!$B$3:$B$1002,$A18,'Movements'!$D$3:$D$1002,$C18,'Movements'!$E$3:$E$1002,"Out")-SUMIFS('Movements'!$F$3:$F$1002,'Movements'!$B$3:$B$1002,$A18,'Movements'!$D$3:$D$1002,$C18,'Movements'!$E$3:$E$1002,"Waste")+SUMIFS('Movements'!$F$3:$F$1002,'Movements'!$B$3:$B$1002,$A18,'Movements'!$D$3:$D$1002,$C18,'Movements'!$E$3:$E$1002,"In"))</f>
        <v/>
      </c>
      <c r="I18" s="16">
        <f>IF(OR($A18="",$D18=""),"",$D18-'Settings'!$B$6)</f>
        <v/>
      </c>
      <c r="J18" s="8">
        <f>IF(OR($A18="",$D18=""),"",IF($H18&gt;0,$D18+ROW()/100000,""))</f>
        <v/>
      </c>
    </row>
    <row r="19">
      <c r="A19" s="4" t="inlineStr">
        <is>
          <t>INV-006</t>
        </is>
      </c>
      <c r="B19" s="8">
        <f>IF($A19="","",IFERROR(INDEX('Items'!$B$3:$B$202,MATCH($A19,'Items'!$A$3:$A$202,0)),""))</f>
        <v/>
      </c>
      <c r="C19" s="4" t="inlineStr">
        <is>
          <t>L5849</t>
        </is>
      </c>
      <c r="D19" s="5" t="n">
        <v>47205</v>
      </c>
      <c r="E19" s="6" t="n">
        <v>8</v>
      </c>
      <c r="F19" s="5" t="n">
        <v>46253</v>
      </c>
      <c r="G19" s="4" t="inlineStr">
        <is>
          <t>Main branch</t>
        </is>
      </c>
      <c r="H19" s="16">
        <f>IF($A19="","",$E19-SUMIFS('Movements'!$F$3:$F$1002,'Movements'!$B$3:$B$1002,$A19,'Movements'!$D$3:$D$1002,$C19,'Movements'!$E$3:$E$1002,"Out")-SUMIFS('Movements'!$F$3:$F$1002,'Movements'!$B$3:$B$1002,$A19,'Movements'!$D$3:$D$1002,$C19,'Movements'!$E$3:$E$1002,"Waste")+SUMIFS('Movements'!$F$3:$F$1002,'Movements'!$B$3:$B$1002,$A19,'Movements'!$D$3:$D$1002,$C19,'Movements'!$E$3:$E$1002,"In"))</f>
        <v/>
      </c>
      <c r="I19" s="16">
        <f>IF(OR($A19="",$D19=""),"",$D19-'Settings'!$B$6)</f>
        <v/>
      </c>
      <c r="J19" s="8">
        <f>IF(OR($A19="",$D19=""),"",IF($H19&gt;0,$D19+ROW()/100000,""))</f>
        <v/>
      </c>
    </row>
    <row r="20">
      <c r="A20" s="4" t="inlineStr">
        <is>
          <t>INV-006</t>
        </is>
      </c>
      <c r="B20" s="8">
        <f>IF($A20="","",IFERROR(INDEX('Items'!$B$3:$B$202,MATCH($A20,'Items'!$A$3:$A$202,0)),""))</f>
        <v/>
      </c>
      <c r="C20" s="4" t="inlineStr">
        <is>
          <t>L5920</t>
        </is>
      </c>
      <c r="D20" s="5" t="n">
        <v>47266</v>
      </c>
      <c r="E20" s="6" t="n">
        <v>5</v>
      </c>
      <c r="F20" s="5" t="n">
        <v>46276</v>
      </c>
      <c r="G20" s="4" t="inlineStr">
        <is>
          <t>Main branch</t>
        </is>
      </c>
      <c r="H20" s="16">
        <f>IF($A20="","",$E20-SUMIFS('Movements'!$F$3:$F$1002,'Movements'!$B$3:$B$1002,$A20,'Movements'!$D$3:$D$1002,$C20,'Movements'!$E$3:$E$1002,"Out")-SUMIFS('Movements'!$F$3:$F$1002,'Movements'!$B$3:$B$1002,$A20,'Movements'!$D$3:$D$1002,$C20,'Movements'!$E$3:$E$1002,"Waste")+SUMIFS('Movements'!$F$3:$F$1002,'Movements'!$B$3:$B$1002,$A20,'Movements'!$D$3:$D$1002,$C20,'Movements'!$E$3:$E$1002,"In"))</f>
        <v/>
      </c>
      <c r="I20" s="16">
        <f>IF(OR($A20="",$D20=""),"",$D20-'Settings'!$B$6)</f>
        <v/>
      </c>
      <c r="J20" s="8">
        <f>IF(OR($A20="",$D20=""),"",IF($H20&gt;0,$D20+ROW()/100000,""))</f>
        <v/>
      </c>
    </row>
    <row r="21">
      <c r="A21" s="4" t="inlineStr">
        <is>
          <t>INV-007</t>
        </is>
      </c>
      <c r="B21" s="8">
        <f>IF($A21="","",IFERROR(INDEX('Items'!$B$3:$B$202,MATCH($A21,'Items'!$A$3:$A$202,0)),""))</f>
        <v/>
      </c>
      <c r="C21" s="4" t="inlineStr">
        <is>
          <t>L5978</t>
        </is>
      </c>
      <c r="D21" s="5" t="n">
        <v>47146</v>
      </c>
      <c r="E21" s="6" t="n">
        <v>4</v>
      </c>
      <c r="F21" s="5" t="n">
        <v>46223</v>
      </c>
      <c r="G21" s="4" t="inlineStr">
        <is>
          <t>Main branch</t>
        </is>
      </c>
      <c r="H21" s="16">
        <f>IF($A21="","",$E21-SUMIFS('Movements'!$F$3:$F$1002,'Movements'!$B$3:$B$1002,$A21,'Movements'!$D$3:$D$1002,$C21,'Movements'!$E$3:$E$1002,"Out")-SUMIFS('Movements'!$F$3:$F$1002,'Movements'!$B$3:$B$1002,$A21,'Movements'!$D$3:$D$1002,$C21,'Movements'!$E$3:$E$1002,"Waste")+SUMIFS('Movements'!$F$3:$F$1002,'Movements'!$B$3:$B$1002,$A21,'Movements'!$D$3:$D$1002,$C21,'Movements'!$E$3:$E$1002,"In"))</f>
        <v/>
      </c>
      <c r="I21" s="16">
        <f>IF(OR($A21="",$D21=""),"",$D21-'Settings'!$B$6)</f>
        <v/>
      </c>
      <c r="J21" s="8">
        <f>IF(OR($A21="",$D21=""),"",IF($H21&gt;0,$D21+ROW()/100000,""))</f>
        <v/>
      </c>
    </row>
    <row r="22">
      <c r="A22" s="4" t="inlineStr">
        <is>
          <t>INV-007</t>
        </is>
      </c>
      <c r="B22" s="8">
        <f>IF($A22="","",IFERROR(INDEX('Items'!$B$3:$B$202,MATCH($A22,'Items'!$A$3:$A$202,0)),""))</f>
        <v/>
      </c>
      <c r="C22" s="4" t="inlineStr">
        <is>
          <t>L6036</t>
        </is>
      </c>
      <c r="D22" s="5" t="n">
        <v>47205</v>
      </c>
      <c r="E22" s="6" t="n">
        <v>8</v>
      </c>
      <c r="F22" s="5" t="n">
        <v>46247</v>
      </c>
      <c r="G22" s="4" t="inlineStr">
        <is>
          <t>Main branch</t>
        </is>
      </c>
      <c r="H22" s="16">
        <f>IF($A22="","",$E22-SUMIFS('Movements'!$F$3:$F$1002,'Movements'!$B$3:$B$1002,$A22,'Movements'!$D$3:$D$1002,$C22,'Movements'!$E$3:$E$1002,"Out")-SUMIFS('Movements'!$F$3:$F$1002,'Movements'!$B$3:$B$1002,$A22,'Movements'!$D$3:$D$1002,$C22,'Movements'!$E$3:$E$1002,"Waste")+SUMIFS('Movements'!$F$3:$F$1002,'Movements'!$B$3:$B$1002,$A22,'Movements'!$D$3:$D$1002,$C22,'Movements'!$E$3:$E$1002,"In"))</f>
        <v/>
      </c>
      <c r="I22" s="16">
        <f>IF(OR($A22="",$D22=""),"",$D22-'Settings'!$B$6)</f>
        <v/>
      </c>
      <c r="J22" s="8">
        <f>IF(OR($A22="",$D22=""),"",IF($H22&gt;0,$D22+ROW()/100000,""))</f>
        <v/>
      </c>
    </row>
    <row r="23">
      <c r="A23" s="4" t="inlineStr">
        <is>
          <t>INV-007</t>
        </is>
      </c>
      <c r="B23" s="8">
        <f>IF($A23="","",IFERROR(INDEX('Items'!$B$3:$B$202,MATCH($A23,'Items'!$A$3:$A$202,0)),""))</f>
        <v/>
      </c>
      <c r="C23" s="4" t="inlineStr">
        <is>
          <t>L6051</t>
        </is>
      </c>
      <c r="D23" s="5" t="n">
        <v>47266</v>
      </c>
      <c r="E23" s="6" t="n">
        <v>10</v>
      </c>
      <c r="F23" s="5" t="n">
        <v>46277</v>
      </c>
      <c r="G23" s="4" t="inlineStr">
        <is>
          <t>Main branch</t>
        </is>
      </c>
      <c r="H23" s="16">
        <f>IF($A23="","",$E23-SUMIFS('Movements'!$F$3:$F$1002,'Movements'!$B$3:$B$1002,$A23,'Movements'!$D$3:$D$1002,$C23,'Movements'!$E$3:$E$1002,"Out")-SUMIFS('Movements'!$F$3:$F$1002,'Movements'!$B$3:$B$1002,$A23,'Movements'!$D$3:$D$1002,$C23,'Movements'!$E$3:$E$1002,"Waste")+SUMIFS('Movements'!$F$3:$F$1002,'Movements'!$B$3:$B$1002,$A23,'Movements'!$D$3:$D$1002,$C23,'Movements'!$E$3:$E$1002,"In"))</f>
        <v/>
      </c>
      <c r="I23" s="16">
        <f>IF(OR($A23="",$D23=""),"",$D23-'Settings'!$B$6)</f>
        <v/>
      </c>
      <c r="J23" s="8">
        <f>IF(OR($A23="",$D23=""),"",IF($H23&gt;0,$D23+ROW()/100000,""))</f>
        <v/>
      </c>
    </row>
    <row r="24">
      <c r="A24" s="4" t="inlineStr">
        <is>
          <t>INV-008</t>
        </is>
      </c>
      <c r="B24" s="8">
        <f>IF($A24="","",IFERROR(INDEX('Items'!$B$3:$B$202,MATCH($A24,'Items'!$A$3:$A$202,0)),""))</f>
        <v/>
      </c>
      <c r="C24" s="4" t="inlineStr">
        <is>
          <t>L6096</t>
        </is>
      </c>
      <c r="D24" s="5" t="n">
        <v>47146</v>
      </c>
      <c r="E24" s="6" t="n">
        <v>4</v>
      </c>
      <c r="F24" s="5" t="n">
        <v>46222</v>
      </c>
      <c r="G24" s="4" t="inlineStr">
        <is>
          <t>Main branch</t>
        </is>
      </c>
      <c r="H24" s="16">
        <f>IF($A24="","",$E24-SUMIFS('Movements'!$F$3:$F$1002,'Movements'!$B$3:$B$1002,$A24,'Movements'!$D$3:$D$1002,$C24,'Movements'!$E$3:$E$1002,"Out")-SUMIFS('Movements'!$F$3:$F$1002,'Movements'!$B$3:$B$1002,$A24,'Movements'!$D$3:$D$1002,$C24,'Movements'!$E$3:$E$1002,"Waste")+SUMIFS('Movements'!$F$3:$F$1002,'Movements'!$B$3:$B$1002,$A24,'Movements'!$D$3:$D$1002,$C24,'Movements'!$E$3:$E$1002,"In"))</f>
        <v/>
      </c>
      <c r="I24" s="16">
        <f>IF(OR($A24="",$D24=""),"",$D24-'Settings'!$B$6)</f>
        <v/>
      </c>
      <c r="J24" s="8">
        <f>IF(OR($A24="",$D24=""),"",IF($H24&gt;0,$D24+ROW()/100000,""))</f>
        <v/>
      </c>
    </row>
    <row r="25">
      <c r="A25" s="4" t="inlineStr">
        <is>
          <t>INV-008</t>
        </is>
      </c>
      <c r="B25" s="8">
        <f>IF($A25="","",IFERROR(INDEX('Items'!$B$3:$B$202,MATCH($A25,'Items'!$A$3:$A$202,0)),""))</f>
        <v/>
      </c>
      <c r="C25" s="4" t="inlineStr">
        <is>
          <t>L6138</t>
        </is>
      </c>
      <c r="D25" s="5" t="n">
        <v>47205</v>
      </c>
      <c r="E25" s="6" t="n">
        <v>8</v>
      </c>
      <c r="F25" s="5" t="n">
        <v>46247</v>
      </c>
      <c r="G25" s="4" t="inlineStr">
        <is>
          <t>Main branch</t>
        </is>
      </c>
      <c r="H25" s="16">
        <f>IF($A25="","",$E25-SUMIFS('Movements'!$F$3:$F$1002,'Movements'!$B$3:$B$1002,$A25,'Movements'!$D$3:$D$1002,$C25,'Movements'!$E$3:$E$1002,"Out")-SUMIFS('Movements'!$F$3:$F$1002,'Movements'!$B$3:$B$1002,$A25,'Movements'!$D$3:$D$1002,$C25,'Movements'!$E$3:$E$1002,"Waste")+SUMIFS('Movements'!$F$3:$F$1002,'Movements'!$B$3:$B$1002,$A25,'Movements'!$D$3:$D$1002,$C25,'Movements'!$E$3:$E$1002,"In"))</f>
        <v/>
      </c>
      <c r="I25" s="16">
        <f>IF(OR($A25="",$D25=""),"",$D25-'Settings'!$B$6)</f>
        <v/>
      </c>
      <c r="J25" s="8">
        <f>IF(OR($A25="",$D25=""),"",IF($H25&gt;0,$D25+ROW()/100000,""))</f>
        <v/>
      </c>
    </row>
    <row r="26">
      <c r="A26" s="4" t="inlineStr">
        <is>
          <t>INV-008</t>
        </is>
      </c>
      <c r="B26" s="8">
        <f>IF($A26="","",IFERROR(INDEX('Items'!$B$3:$B$202,MATCH($A26,'Items'!$A$3:$A$202,0)),""))</f>
        <v/>
      </c>
      <c r="C26" s="4" t="inlineStr">
        <is>
          <t>L6210</t>
        </is>
      </c>
      <c r="D26" s="5" t="n">
        <v>47266</v>
      </c>
      <c r="E26" s="6" t="n">
        <v>13</v>
      </c>
      <c r="F26" s="5" t="n">
        <v>46278</v>
      </c>
      <c r="G26" s="4" t="inlineStr">
        <is>
          <t>Main branch</t>
        </is>
      </c>
      <c r="H26" s="16">
        <f>IF($A26="","",$E26-SUMIFS('Movements'!$F$3:$F$1002,'Movements'!$B$3:$B$1002,$A26,'Movements'!$D$3:$D$1002,$C26,'Movements'!$E$3:$E$1002,"Out")-SUMIFS('Movements'!$F$3:$F$1002,'Movements'!$B$3:$B$1002,$A26,'Movements'!$D$3:$D$1002,$C26,'Movements'!$E$3:$E$1002,"Waste")+SUMIFS('Movements'!$F$3:$F$1002,'Movements'!$B$3:$B$1002,$A26,'Movements'!$D$3:$D$1002,$C26,'Movements'!$E$3:$E$1002,"In"))</f>
        <v/>
      </c>
      <c r="I26" s="16">
        <f>IF(OR($A26="",$D26=""),"",$D26-'Settings'!$B$6)</f>
        <v/>
      </c>
      <c r="J26" s="8">
        <f>IF(OR($A26="",$D26=""),"",IF($H26&gt;0,$D26+ROW()/100000,""))</f>
        <v/>
      </c>
    </row>
    <row r="27">
      <c r="A27" s="4" t="inlineStr">
        <is>
          <t>INV-009</t>
        </is>
      </c>
      <c r="B27" s="8">
        <f>IF($A27="","",IFERROR(INDEX('Items'!$B$3:$B$202,MATCH($A27,'Items'!$A$3:$A$202,0)),""))</f>
        <v/>
      </c>
      <c r="C27" s="4" t="inlineStr">
        <is>
          <t>L6258</t>
        </is>
      </c>
      <c r="D27" s="5" t="n">
        <v>47146</v>
      </c>
      <c r="E27" s="6" t="n">
        <v>5</v>
      </c>
      <c r="F27" s="5" t="n">
        <v>46228</v>
      </c>
      <c r="G27" s="4" t="inlineStr">
        <is>
          <t>Main branch</t>
        </is>
      </c>
      <c r="H27" s="16">
        <f>IF($A27="","",$E27-SUMIFS('Movements'!$F$3:$F$1002,'Movements'!$B$3:$B$1002,$A27,'Movements'!$D$3:$D$1002,$C27,'Movements'!$E$3:$E$1002,"Out")-SUMIFS('Movements'!$F$3:$F$1002,'Movements'!$B$3:$B$1002,$A27,'Movements'!$D$3:$D$1002,$C27,'Movements'!$E$3:$E$1002,"Waste")+SUMIFS('Movements'!$F$3:$F$1002,'Movements'!$B$3:$B$1002,$A27,'Movements'!$D$3:$D$1002,$C27,'Movements'!$E$3:$E$1002,"In"))</f>
        <v/>
      </c>
      <c r="I27" s="16">
        <f>IF(OR($A27="",$D27=""),"",$D27-'Settings'!$B$6)</f>
        <v/>
      </c>
      <c r="J27" s="8">
        <f>IF(OR($A27="",$D27=""),"",IF($H27&gt;0,$D27+ROW()/100000,""))</f>
        <v/>
      </c>
    </row>
    <row r="28">
      <c r="A28" s="4" t="inlineStr">
        <is>
          <t>INV-010</t>
        </is>
      </c>
      <c r="B28" s="8">
        <f>IF($A28="","",IFERROR(INDEX('Items'!$B$3:$B$202,MATCH($A28,'Items'!$A$3:$A$202,0)),""))</f>
        <v/>
      </c>
      <c r="C28" s="4" t="inlineStr">
        <is>
          <t>L6307</t>
        </is>
      </c>
      <c r="D28" s="5" t="n">
        <v>47146</v>
      </c>
      <c r="E28" s="6" t="n">
        <v>3</v>
      </c>
      <c r="F28" s="5" t="n">
        <v>46224</v>
      </c>
      <c r="G28" s="4" t="inlineStr">
        <is>
          <t>Main branch</t>
        </is>
      </c>
      <c r="H28" s="16">
        <f>IF($A28="","",$E28-SUMIFS('Movements'!$F$3:$F$1002,'Movements'!$B$3:$B$1002,$A28,'Movements'!$D$3:$D$1002,$C28,'Movements'!$E$3:$E$1002,"Out")-SUMIFS('Movements'!$F$3:$F$1002,'Movements'!$B$3:$B$1002,$A28,'Movements'!$D$3:$D$1002,$C28,'Movements'!$E$3:$E$1002,"Waste")+SUMIFS('Movements'!$F$3:$F$1002,'Movements'!$B$3:$B$1002,$A28,'Movements'!$D$3:$D$1002,$C28,'Movements'!$E$3:$E$1002,"In"))</f>
        <v/>
      </c>
      <c r="I28" s="16">
        <f>IF(OR($A28="",$D28=""),"",$D28-'Settings'!$B$6)</f>
        <v/>
      </c>
      <c r="J28" s="8">
        <f>IF(OR($A28="",$D28=""),"",IF($H28&gt;0,$D28+ROW()/100000,""))</f>
        <v/>
      </c>
    </row>
    <row r="29">
      <c r="A29" s="4" t="inlineStr">
        <is>
          <t>INV-010</t>
        </is>
      </c>
      <c r="B29" s="8">
        <f>IF($A29="","",IFERROR(INDEX('Items'!$B$3:$B$202,MATCH($A29,'Items'!$A$3:$A$202,0)),""))</f>
        <v/>
      </c>
      <c r="C29" s="4" t="inlineStr">
        <is>
          <t>L6327</t>
        </is>
      </c>
      <c r="D29" s="5" t="n">
        <v>47205</v>
      </c>
      <c r="E29" s="6" t="n">
        <v>3</v>
      </c>
      <c r="F29" s="5" t="n">
        <v>46254</v>
      </c>
      <c r="G29" s="4" t="inlineStr">
        <is>
          <t>Main branch</t>
        </is>
      </c>
      <c r="H29" s="16">
        <f>IF($A29="","",$E29-SUMIFS('Movements'!$F$3:$F$1002,'Movements'!$B$3:$B$1002,$A29,'Movements'!$D$3:$D$1002,$C29,'Movements'!$E$3:$E$1002,"Out")-SUMIFS('Movements'!$F$3:$F$1002,'Movements'!$B$3:$B$1002,$A29,'Movements'!$D$3:$D$1002,$C29,'Movements'!$E$3:$E$1002,"Waste")+SUMIFS('Movements'!$F$3:$F$1002,'Movements'!$B$3:$B$1002,$A29,'Movements'!$D$3:$D$1002,$C29,'Movements'!$E$3:$E$1002,"In"))</f>
        <v/>
      </c>
      <c r="I29" s="16">
        <f>IF(OR($A29="",$D29=""),"",$D29-'Settings'!$B$6)</f>
        <v/>
      </c>
      <c r="J29" s="8">
        <f>IF(OR($A29="",$D29=""),"",IF($H29&gt;0,$D29+ROW()/100000,""))</f>
        <v/>
      </c>
    </row>
    <row r="30">
      <c r="A30" s="4" t="inlineStr">
        <is>
          <t>INV-010</t>
        </is>
      </c>
      <c r="B30" s="8">
        <f>IF($A30="","",IFERROR(INDEX('Items'!$B$3:$B$202,MATCH($A30,'Items'!$A$3:$A$202,0)),""))</f>
        <v/>
      </c>
      <c r="C30" s="4" t="inlineStr">
        <is>
          <t>L6350</t>
        </is>
      </c>
      <c r="D30" s="5" t="n">
        <v>47266</v>
      </c>
      <c r="E30" s="6" t="n">
        <v>14</v>
      </c>
      <c r="F30" s="5" t="n">
        <v>46275</v>
      </c>
      <c r="G30" s="4" t="inlineStr">
        <is>
          <t>Main branch</t>
        </is>
      </c>
      <c r="H30" s="16">
        <f>IF($A30="","",$E30-SUMIFS('Movements'!$F$3:$F$1002,'Movements'!$B$3:$B$1002,$A30,'Movements'!$D$3:$D$1002,$C30,'Movements'!$E$3:$E$1002,"Out")-SUMIFS('Movements'!$F$3:$F$1002,'Movements'!$B$3:$B$1002,$A30,'Movements'!$D$3:$D$1002,$C30,'Movements'!$E$3:$E$1002,"Waste")+SUMIFS('Movements'!$F$3:$F$1002,'Movements'!$B$3:$B$1002,$A30,'Movements'!$D$3:$D$1002,$C30,'Movements'!$E$3:$E$1002,"In"))</f>
        <v/>
      </c>
      <c r="I30" s="16">
        <f>IF(OR($A30="",$D30=""),"",$D30-'Settings'!$B$6)</f>
        <v/>
      </c>
      <c r="J30" s="8">
        <f>IF(OR($A30="",$D30=""),"",IF($H30&gt;0,$D30+ROW()/100000,""))</f>
        <v/>
      </c>
    </row>
    <row r="31">
      <c r="A31" s="4" t="inlineStr">
        <is>
          <t>INV-011</t>
        </is>
      </c>
      <c r="B31" s="8">
        <f>IF($A31="","",IFERROR(INDEX('Items'!$B$3:$B$202,MATCH($A31,'Items'!$A$3:$A$202,0)),""))</f>
        <v/>
      </c>
      <c r="C31" s="4" t="inlineStr">
        <is>
          <t>L6360</t>
        </is>
      </c>
      <c r="D31" s="5" t="n">
        <v>47146</v>
      </c>
      <c r="E31" s="6" t="n">
        <v>8</v>
      </c>
      <c r="F31" s="5" t="n">
        <v>46223</v>
      </c>
      <c r="G31" s="4" t="inlineStr">
        <is>
          <t>Main branch</t>
        </is>
      </c>
      <c r="H31" s="16">
        <f>IF($A31="","",$E31-SUMIFS('Movements'!$F$3:$F$1002,'Movements'!$B$3:$B$1002,$A31,'Movements'!$D$3:$D$1002,$C31,'Movements'!$E$3:$E$1002,"Out")-SUMIFS('Movements'!$F$3:$F$1002,'Movements'!$B$3:$B$1002,$A31,'Movements'!$D$3:$D$1002,$C31,'Movements'!$E$3:$E$1002,"Waste")+SUMIFS('Movements'!$F$3:$F$1002,'Movements'!$B$3:$B$1002,$A31,'Movements'!$D$3:$D$1002,$C31,'Movements'!$E$3:$E$1002,"In"))</f>
        <v/>
      </c>
      <c r="I31" s="16">
        <f>IF(OR($A31="",$D31=""),"",$D31-'Settings'!$B$6)</f>
        <v/>
      </c>
      <c r="J31" s="8">
        <f>IF(OR($A31="",$D31=""),"",IF($H31&gt;0,$D31+ROW()/100000,""))</f>
        <v/>
      </c>
    </row>
    <row r="32">
      <c r="A32" s="4" t="inlineStr">
        <is>
          <t>INV-011</t>
        </is>
      </c>
      <c r="B32" s="8">
        <f>IF($A32="","",IFERROR(INDEX('Items'!$B$3:$B$202,MATCH($A32,'Items'!$A$3:$A$202,0)),""))</f>
        <v/>
      </c>
      <c r="C32" s="4" t="inlineStr">
        <is>
          <t>L6436</t>
        </is>
      </c>
      <c r="D32" s="5" t="n">
        <v>47205</v>
      </c>
      <c r="E32" s="6" t="n">
        <v>15</v>
      </c>
      <c r="F32" s="5" t="n">
        <v>46250</v>
      </c>
      <c r="G32" s="4" t="inlineStr">
        <is>
          <t>Main branch</t>
        </is>
      </c>
      <c r="H32" s="16">
        <f>IF($A32="","",$E32-SUMIFS('Movements'!$F$3:$F$1002,'Movements'!$B$3:$B$1002,$A32,'Movements'!$D$3:$D$1002,$C32,'Movements'!$E$3:$E$1002,"Out")-SUMIFS('Movements'!$F$3:$F$1002,'Movements'!$B$3:$B$1002,$A32,'Movements'!$D$3:$D$1002,$C32,'Movements'!$E$3:$E$1002,"Waste")+SUMIFS('Movements'!$F$3:$F$1002,'Movements'!$B$3:$B$1002,$A32,'Movements'!$D$3:$D$1002,$C32,'Movements'!$E$3:$E$1002,"In"))</f>
        <v/>
      </c>
      <c r="I32" s="16">
        <f>IF(OR($A32="",$D32=""),"",$D32-'Settings'!$B$6)</f>
        <v/>
      </c>
      <c r="J32" s="8">
        <f>IF(OR($A32="",$D32=""),"",IF($H32&gt;0,$D32+ROW()/100000,""))</f>
        <v/>
      </c>
    </row>
    <row r="33">
      <c r="A33" s="4" t="inlineStr">
        <is>
          <t>INV-011</t>
        </is>
      </c>
      <c r="B33" s="8">
        <f>IF($A33="","",IFERROR(INDEX('Items'!$B$3:$B$202,MATCH($A33,'Items'!$A$3:$A$202,0)),""))</f>
        <v/>
      </c>
      <c r="C33" s="4" t="inlineStr">
        <is>
          <t>L6464</t>
        </is>
      </c>
      <c r="D33" s="5" t="n">
        <v>47266</v>
      </c>
      <c r="E33" s="6" t="n">
        <v>24</v>
      </c>
      <c r="F33" s="5" t="n">
        <v>46280</v>
      </c>
      <c r="G33" s="4" t="inlineStr">
        <is>
          <t>Main branch</t>
        </is>
      </c>
      <c r="H33" s="16">
        <f>IF($A33="","",$E33-SUMIFS('Movements'!$F$3:$F$1002,'Movements'!$B$3:$B$1002,$A33,'Movements'!$D$3:$D$1002,$C33,'Movements'!$E$3:$E$1002,"Out")-SUMIFS('Movements'!$F$3:$F$1002,'Movements'!$B$3:$B$1002,$A33,'Movements'!$D$3:$D$1002,$C33,'Movements'!$E$3:$E$1002,"Waste")+SUMIFS('Movements'!$F$3:$F$1002,'Movements'!$B$3:$B$1002,$A33,'Movements'!$D$3:$D$1002,$C33,'Movements'!$E$3:$E$1002,"In"))</f>
        <v/>
      </c>
      <c r="I33" s="16">
        <f>IF(OR($A33="",$D33=""),"",$D33-'Settings'!$B$6)</f>
        <v/>
      </c>
      <c r="J33" s="8">
        <f>IF(OR($A33="",$D33=""),"",IF($H33&gt;0,$D33+ROW()/100000,""))</f>
        <v/>
      </c>
    </row>
    <row r="34">
      <c r="A34" s="4" t="inlineStr">
        <is>
          <t>INV-012</t>
        </is>
      </c>
      <c r="B34" s="8">
        <f>IF($A34="","",IFERROR(INDEX('Items'!$B$3:$B$202,MATCH($A34,'Items'!$A$3:$A$202,0)),""))</f>
        <v/>
      </c>
      <c r="C34" s="4" t="inlineStr">
        <is>
          <t>L6488</t>
        </is>
      </c>
      <c r="D34" s="5" t="n">
        <v>47146</v>
      </c>
      <c r="E34" s="6" t="n">
        <v>14</v>
      </c>
      <c r="F34" s="5" t="n">
        <v>46222</v>
      </c>
      <c r="G34" s="4" t="inlineStr">
        <is>
          <t>Main branch</t>
        </is>
      </c>
      <c r="H34" s="16">
        <f>IF($A34="","",$E34-SUMIFS('Movements'!$F$3:$F$1002,'Movements'!$B$3:$B$1002,$A34,'Movements'!$D$3:$D$1002,$C34,'Movements'!$E$3:$E$1002,"Out")-SUMIFS('Movements'!$F$3:$F$1002,'Movements'!$B$3:$B$1002,$A34,'Movements'!$D$3:$D$1002,$C34,'Movements'!$E$3:$E$1002,"Waste")+SUMIFS('Movements'!$F$3:$F$1002,'Movements'!$B$3:$B$1002,$A34,'Movements'!$D$3:$D$1002,$C34,'Movements'!$E$3:$E$1002,"In"))</f>
        <v/>
      </c>
      <c r="I34" s="16">
        <f>IF(OR($A34="",$D34=""),"",$D34-'Settings'!$B$6)</f>
        <v/>
      </c>
      <c r="J34" s="8">
        <f>IF(OR($A34="",$D34=""),"",IF($H34&gt;0,$D34+ROW()/100000,""))</f>
        <v/>
      </c>
    </row>
    <row r="35">
      <c r="A35" s="4" t="inlineStr">
        <is>
          <t>INV-012</t>
        </is>
      </c>
      <c r="B35" s="8">
        <f>IF($A35="","",IFERROR(INDEX('Items'!$B$3:$B$202,MATCH($A35,'Items'!$A$3:$A$202,0)),""))</f>
        <v/>
      </c>
      <c r="C35" s="4" t="inlineStr">
        <is>
          <t>L6568</t>
        </is>
      </c>
      <c r="D35" s="5" t="n">
        <v>47205</v>
      </c>
      <c r="E35" s="6" t="n">
        <v>22</v>
      </c>
      <c r="F35" s="5" t="n">
        <v>46251</v>
      </c>
      <c r="G35" s="4" t="inlineStr">
        <is>
          <t>Main branch</t>
        </is>
      </c>
      <c r="H35" s="16">
        <f>IF($A35="","",$E35-SUMIFS('Movements'!$F$3:$F$1002,'Movements'!$B$3:$B$1002,$A35,'Movements'!$D$3:$D$1002,$C35,'Movements'!$E$3:$E$1002,"Out")-SUMIFS('Movements'!$F$3:$F$1002,'Movements'!$B$3:$B$1002,$A35,'Movements'!$D$3:$D$1002,$C35,'Movements'!$E$3:$E$1002,"Waste")+SUMIFS('Movements'!$F$3:$F$1002,'Movements'!$B$3:$B$1002,$A35,'Movements'!$D$3:$D$1002,$C35,'Movements'!$E$3:$E$1002,"In"))</f>
        <v/>
      </c>
      <c r="I35" s="16">
        <f>IF(OR($A35="",$D35=""),"",$D35-'Settings'!$B$6)</f>
        <v/>
      </c>
      <c r="J35" s="8">
        <f>IF(OR($A35="",$D35=""),"",IF($H35&gt;0,$D35+ROW()/100000,""))</f>
        <v/>
      </c>
    </row>
    <row r="36">
      <c r="A36" s="4" t="inlineStr">
        <is>
          <t>INV-012</t>
        </is>
      </c>
      <c r="B36" s="8">
        <f>IF($A36="","",IFERROR(INDEX('Items'!$B$3:$B$202,MATCH($A36,'Items'!$A$3:$A$202,0)),""))</f>
        <v/>
      </c>
      <c r="C36" s="4" t="inlineStr">
        <is>
          <t>L6653</t>
        </is>
      </c>
      <c r="D36" s="5" t="n">
        <v>47266</v>
      </c>
      <c r="E36" s="6" t="n">
        <v>21</v>
      </c>
      <c r="F36" s="5" t="n">
        <v>46281</v>
      </c>
      <c r="G36" s="4" t="inlineStr">
        <is>
          <t>Main branch</t>
        </is>
      </c>
      <c r="H36" s="16">
        <f>IF($A36="","",$E36-SUMIFS('Movements'!$F$3:$F$1002,'Movements'!$B$3:$B$1002,$A36,'Movements'!$D$3:$D$1002,$C36,'Movements'!$E$3:$E$1002,"Out")-SUMIFS('Movements'!$F$3:$F$1002,'Movements'!$B$3:$B$1002,$A36,'Movements'!$D$3:$D$1002,$C36,'Movements'!$E$3:$E$1002,"Waste")+SUMIFS('Movements'!$F$3:$F$1002,'Movements'!$B$3:$B$1002,$A36,'Movements'!$D$3:$D$1002,$C36,'Movements'!$E$3:$E$1002,"In"))</f>
        <v/>
      </c>
      <c r="I36" s="16">
        <f>IF(OR($A36="",$D36=""),"",$D36-'Settings'!$B$6)</f>
        <v/>
      </c>
      <c r="J36" s="8">
        <f>IF(OR($A36="",$D36=""),"",IF($H36&gt;0,$D36+ROW()/100000,""))</f>
        <v/>
      </c>
    </row>
    <row r="37">
      <c r="A37" s="4" t="inlineStr">
        <is>
          <t>INV-013</t>
        </is>
      </c>
      <c r="B37" s="8">
        <f>IF($A37="","",IFERROR(INDEX('Items'!$B$3:$B$202,MATCH($A37,'Items'!$A$3:$A$202,0)),""))</f>
        <v/>
      </c>
      <c r="C37" s="4" t="inlineStr">
        <is>
          <t>L6671</t>
        </is>
      </c>
      <c r="D37" s="5" t="n">
        <v>47146</v>
      </c>
      <c r="E37" s="6" t="n">
        <v>8</v>
      </c>
      <c r="F37" s="5" t="n">
        <v>46228</v>
      </c>
      <c r="G37" s="4" t="inlineStr">
        <is>
          <t>Main branch</t>
        </is>
      </c>
      <c r="H37" s="16">
        <f>IF($A37="","",$E37-SUMIFS('Movements'!$F$3:$F$1002,'Movements'!$B$3:$B$1002,$A37,'Movements'!$D$3:$D$1002,$C37,'Movements'!$E$3:$E$1002,"Out")-SUMIFS('Movements'!$F$3:$F$1002,'Movements'!$B$3:$B$1002,$A37,'Movements'!$D$3:$D$1002,$C37,'Movements'!$E$3:$E$1002,"Waste")+SUMIFS('Movements'!$F$3:$F$1002,'Movements'!$B$3:$B$1002,$A37,'Movements'!$D$3:$D$1002,$C37,'Movements'!$E$3:$E$1002,"In"))</f>
        <v/>
      </c>
      <c r="I37" s="16">
        <f>IF(OR($A37="",$D37=""),"",$D37-'Settings'!$B$6)</f>
        <v/>
      </c>
      <c r="J37" s="8">
        <f>IF(OR($A37="",$D37=""),"",IF($H37&gt;0,$D37+ROW()/100000,""))</f>
        <v/>
      </c>
    </row>
    <row r="38">
      <c r="A38" s="4" t="inlineStr">
        <is>
          <t>INV-013</t>
        </is>
      </c>
      <c r="B38" s="8">
        <f>IF($A38="","",IFERROR(INDEX('Items'!$B$3:$B$202,MATCH($A38,'Items'!$A$3:$A$202,0)),""))</f>
        <v/>
      </c>
      <c r="C38" s="4" t="inlineStr">
        <is>
          <t>L6719</t>
        </is>
      </c>
      <c r="D38" s="5" t="n">
        <v>47205</v>
      </c>
      <c r="E38" s="6" t="n">
        <v>20</v>
      </c>
      <c r="F38" s="5" t="n">
        <v>46249</v>
      </c>
      <c r="G38" s="4" t="inlineStr">
        <is>
          <t>Main branch</t>
        </is>
      </c>
      <c r="H38" s="16">
        <f>IF($A38="","",$E38-SUMIFS('Movements'!$F$3:$F$1002,'Movements'!$B$3:$B$1002,$A38,'Movements'!$D$3:$D$1002,$C38,'Movements'!$E$3:$E$1002,"Out")-SUMIFS('Movements'!$F$3:$F$1002,'Movements'!$B$3:$B$1002,$A38,'Movements'!$D$3:$D$1002,$C38,'Movements'!$E$3:$E$1002,"Waste")+SUMIFS('Movements'!$F$3:$F$1002,'Movements'!$B$3:$B$1002,$A38,'Movements'!$D$3:$D$1002,$C38,'Movements'!$E$3:$E$1002,"In"))</f>
        <v/>
      </c>
      <c r="I38" s="16">
        <f>IF(OR($A38="",$D38=""),"",$D38-'Settings'!$B$6)</f>
        <v/>
      </c>
      <c r="J38" s="8">
        <f>IF(OR($A38="",$D38=""),"",IF($H38&gt;0,$D38+ROW()/100000,""))</f>
        <v/>
      </c>
    </row>
    <row r="39">
      <c r="A39" s="4" t="inlineStr">
        <is>
          <t>INV-013</t>
        </is>
      </c>
      <c r="B39" s="8">
        <f>IF($A39="","",IFERROR(INDEX('Items'!$B$3:$B$202,MATCH($A39,'Items'!$A$3:$A$202,0)),""))</f>
        <v/>
      </c>
      <c r="C39" s="4" t="inlineStr">
        <is>
          <t>L6728</t>
        </is>
      </c>
      <c r="D39" s="5" t="n">
        <v>47266</v>
      </c>
      <c r="E39" s="6" t="n">
        <v>15</v>
      </c>
      <c r="F39" s="5" t="n">
        <v>46280</v>
      </c>
      <c r="G39" s="4" t="inlineStr">
        <is>
          <t>Main branch</t>
        </is>
      </c>
      <c r="H39" s="16">
        <f>IF($A39="","",$E39-SUMIFS('Movements'!$F$3:$F$1002,'Movements'!$B$3:$B$1002,$A39,'Movements'!$D$3:$D$1002,$C39,'Movements'!$E$3:$E$1002,"Out")-SUMIFS('Movements'!$F$3:$F$1002,'Movements'!$B$3:$B$1002,$A39,'Movements'!$D$3:$D$1002,$C39,'Movements'!$E$3:$E$1002,"Waste")+SUMIFS('Movements'!$F$3:$F$1002,'Movements'!$B$3:$B$1002,$A39,'Movements'!$D$3:$D$1002,$C39,'Movements'!$E$3:$E$1002,"In"))</f>
        <v/>
      </c>
      <c r="I39" s="16">
        <f>IF(OR($A39="",$D39=""),"",$D39-'Settings'!$B$6)</f>
        <v/>
      </c>
      <c r="J39" s="8">
        <f>IF(OR($A39="",$D39=""),"",IF($H39&gt;0,$D39+ROW()/100000,""))</f>
        <v/>
      </c>
    </row>
    <row r="40">
      <c r="A40" s="4" t="inlineStr">
        <is>
          <t>INV-014</t>
        </is>
      </c>
      <c r="B40" s="8">
        <f>IF($A40="","",IFERROR(INDEX('Items'!$B$3:$B$202,MATCH($A40,'Items'!$A$3:$A$202,0)),""))</f>
        <v/>
      </c>
      <c r="C40" s="4" t="inlineStr">
        <is>
          <t>L6750</t>
        </is>
      </c>
      <c r="D40" s="5" t="n">
        <v>47146</v>
      </c>
      <c r="E40" s="6" t="n">
        <v>4</v>
      </c>
      <c r="F40" s="5" t="n">
        <v>46229</v>
      </c>
      <c r="G40" s="4" t="inlineStr">
        <is>
          <t>Main branch</t>
        </is>
      </c>
      <c r="H40" s="16">
        <f>IF($A40="","",$E40-SUMIFS('Movements'!$F$3:$F$1002,'Movements'!$B$3:$B$1002,$A40,'Movements'!$D$3:$D$1002,$C40,'Movements'!$E$3:$E$1002,"Out")-SUMIFS('Movements'!$F$3:$F$1002,'Movements'!$B$3:$B$1002,$A40,'Movements'!$D$3:$D$1002,$C40,'Movements'!$E$3:$E$1002,"Waste")+SUMIFS('Movements'!$F$3:$F$1002,'Movements'!$B$3:$B$1002,$A40,'Movements'!$D$3:$D$1002,$C40,'Movements'!$E$3:$E$1002,"In"))</f>
        <v/>
      </c>
      <c r="I40" s="16">
        <f>IF(OR($A40="",$D40=""),"",$D40-'Settings'!$B$6)</f>
        <v/>
      </c>
      <c r="J40" s="8">
        <f>IF(OR($A40="",$D40=""),"",IF($H40&gt;0,$D40+ROW()/100000,""))</f>
        <v/>
      </c>
    </row>
    <row r="41">
      <c r="A41" s="4" t="inlineStr">
        <is>
          <t>INV-014</t>
        </is>
      </c>
      <c r="B41" s="8">
        <f>IF($A41="","",IFERROR(INDEX('Items'!$B$3:$B$202,MATCH($A41,'Items'!$A$3:$A$202,0)),""))</f>
        <v/>
      </c>
      <c r="C41" s="4" t="inlineStr">
        <is>
          <t>L6777</t>
        </is>
      </c>
      <c r="D41" s="5" t="n">
        <v>47205</v>
      </c>
      <c r="E41" s="6" t="n">
        <v>8</v>
      </c>
      <c r="F41" s="5" t="n">
        <v>46250</v>
      </c>
      <c r="G41" s="4" t="inlineStr">
        <is>
          <t>Main branch</t>
        </is>
      </c>
      <c r="H41" s="16">
        <f>IF($A41="","",$E41-SUMIFS('Movements'!$F$3:$F$1002,'Movements'!$B$3:$B$1002,$A41,'Movements'!$D$3:$D$1002,$C41,'Movements'!$E$3:$E$1002,"Out")-SUMIFS('Movements'!$F$3:$F$1002,'Movements'!$B$3:$B$1002,$A41,'Movements'!$D$3:$D$1002,$C41,'Movements'!$E$3:$E$1002,"Waste")+SUMIFS('Movements'!$F$3:$F$1002,'Movements'!$B$3:$B$1002,$A41,'Movements'!$D$3:$D$1002,$C41,'Movements'!$E$3:$E$1002,"In"))</f>
        <v/>
      </c>
      <c r="I41" s="16">
        <f>IF(OR($A41="",$D41=""),"",$D41-'Settings'!$B$6)</f>
        <v/>
      </c>
      <c r="J41" s="8">
        <f>IF(OR($A41="",$D41=""),"",IF($H41&gt;0,$D41+ROW()/100000,""))</f>
        <v/>
      </c>
    </row>
    <row r="42">
      <c r="A42" s="4" t="inlineStr">
        <is>
          <t>INV-014</t>
        </is>
      </c>
      <c r="B42" s="8">
        <f>IF($A42="","",IFERROR(INDEX('Items'!$B$3:$B$202,MATCH($A42,'Items'!$A$3:$A$202,0)),""))</f>
        <v/>
      </c>
      <c r="C42" s="4" t="inlineStr">
        <is>
          <t>L6835</t>
        </is>
      </c>
      <c r="D42" s="5" t="n">
        <v>47266</v>
      </c>
      <c r="E42" s="6" t="n">
        <v>13</v>
      </c>
      <c r="F42" s="5" t="n">
        <v>46276</v>
      </c>
      <c r="G42" s="4" t="inlineStr">
        <is>
          <t>Main branch</t>
        </is>
      </c>
      <c r="H42" s="16">
        <f>IF($A42="","",$E42-SUMIFS('Movements'!$F$3:$F$1002,'Movements'!$B$3:$B$1002,$A42,'Movements'!$D$3:$D$1002,$C42,'Movements'!$E$3:$E$1002,"Out")-SUMIFS('Movements'!$F$3:$F$1002,'Movements'!$B$3:$B$1002,$A42,'Movements'!$D$3:$D$1002,$C42,'Movements'!$E$3:$E$1002,"Waste")+SUMIFS('Movements'!$F$3:$F$1002,'Movements'!$B$3:$B$1002,$A42,'Movements'!$D$3:$D$1002,$C42,'Movements'!$E$3:$E$1002,"In"))</f>
        <v/>
      </c>
      <c r="I42" s="16">
        <f>IF(OR($A42="",$D42=""),"",$D42-'Settings'!$B$6)</f>
        <v/>
      </c>
      <c r="J42" s="8">
        <f>IF(OR($A42="",$D42=""),"",IF($H42&gt;0,$D42+ROW()/100000,""))</f>
        <v/>
      </c>
    </row>
    <row r="43">
      <c r="A43" s="4" t="inlineStr">
        <is>
          <t>INV-015</t>
        </is>
      </c>
      <c r="B43" s="8">
        <f>IF($A43="","",IFERROR(INDEX('Items'!$B$3:$B$202,MATCH($A43,'Items'!$A$3:$A$202,0)),""))</f>
        <v/>
      </c>
      <c r="C43" s="4" t="inlineStr">
        <is>
          <t>L6900</t>
        </is>
      </c>
      <c r="D43" s="5" t="n">
        <v>47146</v>
      </c>
      <c r="E43" s="6" t="n">
        <v>9</v>
      </c>
      <c r="F43" s="5" t="n">
        <v>46222</v>
      </c>
      <c r="G43" s="4" t="inlineStr">
        <is>
          <t>Main branch</t>
        </is>
      </c>
      <c r="H43" s="16">
        <f>IF($A43="","",$E43-SUMIFS('Movements'!$F$3:$F$1002,'Movements'!$B$3:$B$1002,$A43,'Movements'!$D$3:$D$1002,$C43,'Movements'!$E$3:$E$1002,"Out")-SUMIFS('Movements'!$F$3:$F$1002,'Movements'!$B$3:$B$1002,$A43,'Movements'!$D$3:$D$1002,$C43,'Movements'!$E$3:$E$1002,"Waste")+SUMIFS('Movements'!$F$3:$F$1002,'Movements'!$B$3:$B$1002,$A43,'Movements'!$D$3:$D$1002,$C43,'Movements'!$E$3:$E$1002,"In"))</f>
        <v/>
      </c>
      <c r="I43" s="16">
        <f>IF(OR($A43="",$D43=""),"",$D43-'Settings'!$B$6)</f>
        <v/>
      </c>
      <c r="J43" s="8">
        <f>IF(OR($A43="",$D43=""),"",IF($H43&gt;0,$D43+ROW()/100000,""))</f>
        <v/>
      </c>
    </row>
    <row r="44">
      <c r="A44" s="4" t="inlineStr">
        <is>
          <t>INV-016</t>
        </is>
      </c>
      <c r="B44" s="8">
        <f>IF($A44="","",IFERROR(INDEX('Items'!$B$3:$B$202,MATCH($A44,'Items'!$A$3:$A$202,0)),""))</f>
        <v/>
      </c>
      <c r="C44" s="4" t="inlineStr">
        <is>
          <t>L6910</t>
        </is>
      </c>
      <c r="D44" s="5" t="n">
        <v>47146</v>
      </c>
      <c r="E44" s="6" t="n">
        <v>4</v>
      </c>
      <c r="F44" s="5" t="n">
        <v>46225</v>
      </c>
      <c r="G44" s="4" t="inlineStr">
        <is>
          <t>Main branch</t>
        </is>
      </c>
      <c r="H44" s="16">
        <f>IF($A44="","",$E44-SUMIFS('Movements'!$F$3:$F$1002,'Movements'!$B$3:$B$1002,$A44,'Movements'!$D$3:$D$1002,$C44,'Movements'!$E$3:$E$1002,"Out")-SUMIFS('Movements'!$F$3:$F$1002,'Movements'!$B$3:$B$1002,$A44,'Movements'!$D$3:$D$1002,$C44,'Movements'!$E$3:$E$1002,"Waste")+SUMIFS('Movements'!$F$3:$F$1002,'Movements'!$B$3:$B$1002,$A44,'Movements'!$D$3:$D$1002,$C44,'Movements'!$E$3:$E$1002,"In"))</f>
        <v/>
      </c>
      <c r="I44" s="16">
        <f>IF(OR($A44="",$D44=""),"",$D44-'Settings'!$B$6)</f>
        <v/>
      </c>
      <c r="J44" s="8">
        <f>IF(OR($A44="",$D44=""),"",IF($H44&gt;0,$D44+ROW()/100000,""))</f>
        <v/>
      </c>
    </row>
    <row r="45">
      <c r="A45" s="4" t="inlineStr">
        <is>
          <t>INV-016</t>
        </is>
      </c>
      <c r="B45" s="8">
        <f>IF($A45="","",IFERROR(INDEX('Items'!$B$3:$B$202,MATCH($A45,'Items'!$A$3:$A$202,0)),""))</f>
        <v/>
      </c>
      <c r="C45" s="4" t="inlineStr">
        <is>
          <t>L6967</t>
        </is>
      </c>
      <c r="D45" s="5" t="n">
        <v>47205</v>
      </c>
      <c r="E45" s="6" t="n">
        <v>16</v>
      </c>
      <c r="F45" s="5" t="n">
        <v>46247</v>
      </c>
      <c r="G45" s="4" t="inlineStr">
        <is>
          <t>Main branch</t>
        </is>
      </c>
      <c r="H45" s="16">
        <f>IF($A45="","",$E45-SUMIFS('Movements'!$F$3:$F$1002,'Movements'!$B$3:$B$1002,$A45,'Movements'!$D$3:$D$1002,$C45,'Movements'!$E$3:$E$1002,"Out")-SUMIFS('Movements'!$F$3:$F$1002,'Movements'!$B$3:$B$1002,$A45,'Movements'!$D$3:$D$1002,$C45,'Movements'!$E$3:$E$1002,"Waste")+SUMIFS('Movements'!$F$3:$F$1002,'Movements'!$B$3:$B$1002,$A45,'Movements'!$D$3:$D$1002,$C45,'Movements'!$E$3:$E$1002,"In"))</f>
        <v/>
      </c>
      <c r="I45" s="16">
        <f>IF(OR($A45="",$D45=""),"",$D45-'Settings'!$B$6)</f>
        <v/>
      </c>
      <c r="J45" s="8">
        <f>IF(OR($A45="",$D45=""),"",IF($H45&gt;0,$D45+ROW()/100000,""))</f>
        <v/>
      </c>
    </row>
    <row r="46">
      <c r="A46" s="4" t="inlineStr">
        <is>
          <t>INV-016</t>
        </is>
      </c>
      <c r="B46" s="8">
        <f>IF($A46="","",IFERROR(INDEX('Items'!$B$3:$B$202,MATCH($A46,'Items'!$A$3:$A$202,0)),""))</f>
        <v/>
      </c>
      <c r="C46" s="4" t="inlineStr">
        <is>
          <t>L7007</t>
        </is>
      </c>
      <c r="D46" s="5" t="n">
        <v>47266</v>
      </c>
      <c r="E46" s="6" t="n">
        <v>12</v>
      </c>
      <c r="F46" s="5" t="n">
        <v>46280</v>
      </c>
      <c r="G46" s="4" t="inlineStr">
        <is>
          <t>Main branch</t>
        </is>
      </c>
      <c r="H46" s="16">
        <f>IF($A46="","",$E46-SUMIFS('Movements'!$F$3:$F$1002,'Movements'!$B$3:$B$1002,$A46,'Movements'!$D$3:$D$1002,$C46,'Movements'!$E$3:$E$1002,"Out")-SUMIFS('Movements'!$F$3:$F$1002,'Movements'!$B$3:$B$1002,$A46,'Movements'!$D$3:$D$1002,$C46,'Movements'!$E$3:$E$1002,"Waste")+SUMIFS('Movements'!$F$3:$F$1002,'Movements'!$B$3:$B$1002,$A46,'Movements'!$D$3:$D$1002,$C46,'Movements'!$E$3:$E$1002,"In"))</f>
        <v/>
      </c>
      <c r="I46" s="16">
        <f>IF(OR($A46="",$D46=""),"",$D46-'Settings'!$B$6)</f>
        <v/>
      </c>
      <c r="J46" s="8">
        <f>IF(OR($A46="",$D46=""),"",IF($H46&gt;0,$D46+ROW()/100000,""))</f>
        <v/>
      </c>
    </row>
    <row r="47">
      <c r="A47" s="4" t="inlineStr">
        <is>
          <t>INV-017</t>
        </is>
      </c>
      <c r="B47" s="8">
        <f>IF($A47="","",IFERROR(INDEX('Items'!$B$3:$B$202,MATCH($A47,'Items'!$A$3:$A$202,0)),""))</f>
        <v/>
      </c>
      <c r="C47" s="4" t="inlineStr">
        <is>
          <t>L7018</t>
        </is>
      </c>
      <c r="D47" s="5" t="n">
        <v>47146</v>
      </c>
      <c r="E47" s="6" t="n">
        <v>14</v>
      </c>
      <c r="F47" s="5" t="n">
        <v>46227</v>
      </c>
      <c r="G47" s="4" t="inlineStr">
        <is>
          <t>Main branch</t>
        </is>
      </c>
      <c r="H47" s="16">
        <f>IF($A47="","",$E47-SUMIFS('Movements'!$F$3:$F$1002,'Movements'!$B$3:$B$1002,$A47,'Movements'!$D$3:$D$1002,$C47,'Movements'!$E$3:$E$1002,"Out")-SUMIFS('Movements'!$F$3:$F$1002,'Movements'!$B$3:$B$1002,$A47,'Movements'!$D$3:$D$1002,$C47,'Movements'!$E$3:$E$1002,"Waste")+SUMIFS('Movements'!$F$3:$F$1002,'Movements'!$B$3:$B$1002,$A47,'Movements'!$D$3:$D$1002,$C47,'Movements'!$E$3:$E$1002,"In"))</f>
        <v/>
      </c>
      <c r="I47" s="16">
        <f>IF(OR($A47="",$D47=""),"",$D47-'Settings'!$B$6)</f>
        <v/>
      </c>
      <c r="J47" s="8">
        <f>IF(OR($A47="",$D47=""),"",IF($H47&gt;0,$D47+ROW()/100000,""))</f>
        <v/>
      </c>
    </row>
    <row r="48">
      <c r="A48" s="4" t="inlineStr">
        <is>
          <t>INV-017</t>
        </is>
      </c>
      <c r="B48" s="8">
        <f>IF($A48="","",IFERROR(INDEX('Items'!$B$3:$B$202,MATCH($A48,'Items'!$A$3:$A$202,0)),""))</f>
        <v/>
      </c>
      <c r="C48" s="4" t="inlineStr">
        <is>
          <t>L7038</t>
        </is>
      </c>
      <c r="D48" s="5" t="n">
        <v>47205</v>
      </c>
      <c r="E48" s="6" t="n">
        <v>20</v>
      </c>
      <c r="F48" s="5" t="n">
        <v>46249</v>
      </c>
      <c r="G48" s="4" t="inlineStr">
        <is>
          <t>Main branch</t>
        </is>
      </c>
      <c r="H48" s="16">
        <f>IF($A48="","",$E48-SUMIFS('Movements'!$F$3:$F$1002,'Movements'!$B$3:$B$1002,$A48,'Movements'!$D$3:$D$1002,$C48,'Movements'!$E$3:$E$1002,"Out")-SUMIFS('Movements'!$F$3:$F$1002,'Movements'!$B$3:$B$1002,$A48,'Movements'!$D$3:$D$1002,$C48,'Movements'!$E$3:$E$1002,"Waste")+SUMIFS('Movements'!$F$3:$F$1002,'Movements'!$B$3:$B$1002,$A48,'Movements'!$D$3:$D$1002,$C48,'Movements'!$E$3:$E$1002,"In"))</f>
        <v/>
      </c>
      <c r="I48" s="16">
        <f>IF(OR($A48="",$D48=""),"",$D48-'Settings'!$B$6)</f>
        <v/>
      </c>
      <c r="J48" s="8">
        <f>IF(OR($A48="",$D48=""),"",IF($H48&gt;0,$D48+ROW()/100000,""))</f>
        <v/>
      </c>
    </row>
    <row r="49">
      <c r="A49" s="4" t="inlineStr">
        <is>
          <t>INV-017</t>
        </is>
      </c>
      <c r="B49" s="8">
        <f>IF($A49="","",IFERROR(INDEX('Items'!$B$3:$B$202,MATCH($A49,'Items'!$A$3:$A$202,0)),""))</f>
        <v/>
      </c>
      <c r="C49" s="4" t="inlineStr">
        <is>
          <t>L7065</t>
        </is>
      </c>
      <c r="D49" s="5" t="n">
        <v>47266</v>
      </c>
      <c r="E49" s="6" t="n">
        <v>34</v>
      </c>
      <c r="F49" s="5" t="n">
        <v>46276</v>
      </c>
      <c r="G49" s="4" t="inlineStr">
        <is>
          <t>Main branch</t>
        </is>
      </c>
      <c r="H49" s="16">
        <f>IF($A49="","",$E49-SUMIFS('Movements'!$F$3:$F$1002,'Movements'!$B$3:$B$1002,$A49,'Movements'!$D$3:$D$1002,$C49,'Movements'!$E$3:$E$1002,"Out")-SUMIFS('Movements'!$F$3:$F$1002,'Movements'!$B$3:$B$1002,$A49,'Movements'!$D$3:$D$1002,$C49,'Movements'!$E$3:$E$1002,"Waste")+SUMIFS('Movements'!$F$3:$F$1002,'Movements'!$B$3:$B$1002,$A49,'Movements'!$D$3:$D$1002,$C49,'Movements'!$E$3:$E$1002,"In"))</f>
        <v/>
      </c>
      <c r="I49" s="16">
        <f>IF(OR($A49="",$D49=""),"",$D49-'Settings'!$B$6)</f>
        <v/>
      </c>
      <c r="J49" s="8">
        <f>IF(OR($A49="",$D49=""),"",IF($H49&gt;0,$D49+ROW()/100000,""))</f>
        <v/>
      </c>
    </row>
    <row r="50">
      <c r="A50" s="4" t="inlineStr">
        <is>
          <t>INV-018</t>
        </is>
      </c>
      <c r="B50" s="8">
        <f>IF($A50="","",IFERROR(INDEX('Items'!$B$3:$B$202,MATCH($A50,'Items'!$A$3:$A$202,0)),""))</f>
        <v/>
      </c>
      <c r="C50" s="4" t="inlineStr">
        <is>
          <t>L7119</t>
        </is>
      </c>
      <c r="D50" s="5" t="n">
        <v>47146</v>
      </c>
      <c r="E50" s="6" t="n">
        <v>3</v>
      </c>
      <c r="F50" s="5" t="n">
        <v>46221</v>
      </c>
      <c r="G50" s="4" t="inlineStr">
        <is>
          <t>Main branch</t>
        </is>
      </c>
      <c r="H50" s="16">
        <f>IF($A50="","",$E50-SUMIFS('Movements'!$F$3:$F$1002,'Movements'!$B$3:$B$1002,$A50,'Movements'!$D$3:$D$1002,$C50,'Movements'!$E$3:$E$1002,"Out")-SUMIFS('Movements'!$F$3:$F$1002,'Movements'!$B$3:$B$1002,$A50,'Movements'!$D$3:$D$1002,$C50,'Movements'!$E$3:$E$1002,"Waste")+SUMIFS('Movements'!$F$3:$F$1002,'Movements'!$B$3:$B$1002,$A50,'Movements'!$D$3:$D$1002,$C50,'Movements'!$E$3:$E$1002,"In"))</f>
        <v/>
      </c>
      <c r="I50" s="16">
        <f>IF(OR($A50="",$D50=""),"",$D50-'Settings'!$B$6)</f>
        <v/>
      </c>
      <c r="J50" s="8">
        <f>IF(OR($A50="",$D50=""),"",IF($H50&gt;0,$D50+ROW()/100000,""))</f>
        <v/>
      </c>
    </row>
    <row r="51">
      <c r="A51" s="4" t="inlineStr">
        <is>
          <t>INV-018</t>
        </is>
      </c>
      <c r="B51" s="8">
        <f>IF($A51="","",IFERROR(INDEX('Items'!$B$3:$B$202,MATCH($A51,'Items'!$A$3:$A$202,0)),""))</f>
        <v/>
      </c>
      <c r="C51" s="4" t="inlineStr">
        <is>
          <t>L7150</t>
        </is>
      </c>
      <c r="D51" s="5" t="n">
        <v>47205</v>
      </c>
      <c r="E51" s="6" t="n">
        <v>3</v>
      </c>
      <c r="F51" s="5" t="n">
        <v>46253</v>
      </c>
      <c r="G51" s="4" t="inlineStr">
        <is>
          <t>Main branch</t>
        </is>
      </c>
      <c r="H51" s="16">
        <f>IF($A51="","",$E51-SUMIFS('Movements'!$F$3:$F$1002,'Movements'!$B$3:$B$1002,$A51,'Movements'!$D$3:$D$1002,$C51,'Movements'!$E$3:$E$1002,"Out")-SUMIFS('Movements'!$F$3:$F$1002,'Movements'!$B$3:$B$1002,$A51,'Movements'!$D$3:$D$1002,$C51,'Movements'!$E$3:$E$1002,"Waste")+SUMIFS('Movements'!$F$3:$F$1002,'Movements'!$B$3:$B$1002,$A51,'Movements'!$D$3:$D$1002,$C51,'Movements'!$E$3:$E$1002,"In"))</f>
        <v/>
      </c>
      <c r="I51" s="16">
        <f>IF(OR($A51="",$D51=""),"",$D51-'Settings'!$B$6)</f>
        <v/>
      </c>
      <c r="J51" s="8">
        <f>IF(OR($A51="",$D51=""),"",IF($H51&gt;0,$D51+ROW()/100000,""))</f>
        <v/>
      </c>
    </row>
    <row r="52">
      <c r="A52" s="4" t="inlineStr">
        <is>
          <t>INV-018</t>
        </is>
      </c>
      <c r="B52" s="8">
        <f>IF($A52="","",IFERROR(INDEX('Items'!$B$3:$B$202,MATCH($A52,'Items'!$A$3:$A$202,0)),""))</f>
        <v/>
      </c>
      <c r="C52" s="4" t="inlineStr">
        <is>
          <t>L7199</t>
        </is>
      </c>
      <c r="D52" s="5" t="n">
        <v>47266</v>
      </c>
      <c r="E52" s="6" t="n">
        <v>8</v>
      </c>
      <c r="F52" s="5" t="n">
        <v>46278</v>
      </c>
      <c r="G52" s="4" t="inlineStr">
        <is>
          <t>Main branch</t>
        </is>
      </c>
      <c r="H52" s="16">
        <f>IF($A52="","",$E52-SUMIFS('Movements'!$F$3:$F$1002,'Movements'!$B$3:$B$1002,$A52,'Movements'!$D$3:$D$1002,$C52,'Movements'!$E$3:$E$1002,"Out")-SUMIFS('Movements'!$F$3:$F$1002,'Movements'!$B$3:$B$1002,$A52,'Movements'!$D$3:$D$1002,$C52,'Movements'!$E$3:$E$1002,"Waste")+SUMIFS('Movements'!$F$3:$F$1002,'Movements'!$B$3:$B$1002,$A52,'Movements'!$D$3:$D$1002,$C52,'Movements'!$E$3:$E$1002,"In"))</f>
        <v/>
      </c>
      <c r="I52" s="16">
        <f>IF(OR($A52="",$D52=""),"",$D52-'Settings'!$B$6)</f>
        <v/>
      </c>
      <c r="J52" s="8">
        <f>IF(OR($A52="",$D52=""),"",IF($H52&gt;0,$D52+ROW()/100000,""))</f>
        <v/>
      </c>
    </row>
    <row r="53">
      <c r="A53" s="4" t="inlineStr">
        <is>
          <t>INV-019</t>
        </is>
      </c>
      <c r="B53" s="8">
        <f>IF($A53="","",IFERROR(INDEX('Items'!$B$3:$B$202,MATCH($A53,'Items'!$A$3:$A$202,0)),""))</f>
        <v/>
      </c>
      <c r="C53" s="4" t="inlineStr">
        <is>
          <t>L7281</t>
        </is>
      </c>
      <c r="D53" s="5" t="n">
        <v>46780</v>
      </c>
      <c r="E53" s="6" t="n">
        <v>5</v>
      </c>
      <c r="F53" s="5" t="n">
        <v>46232</v>
      </c>
      <c r="G53" s="4" t="inlineStr">
        <is>
          <t>Main branch</t>
        </is>
      </c>
      <c r="H53" s="16">
        <f>IF($A53="","",$E53-SUMIFS('Movements'!$F$3:$F$1002,'Movements'!$B$3:$B$1002,$A53,'Movements'!$D$3:$D$1002,$C53,'Movements'!$E$3:$E$1002,"Out")-SUMIFS('Movements'!$F$3:$F$1002,'Movements'!$B$3:$B$1002,$A53,'Movements'!$D$3:$D$1002,$C53,'Movements'!$E$3:$E$1002,"Waste")+SUMIFS('Movements'!$F$3:$F$1002,'Movements'!$B$3:$B$1002,$A53,'Movements'!$D$3:$D$1002,$C53,'Movements'!$E$3:$E$1002,"In"))</f>
        <v/>
      </c>
      <c r="I53" s="16">
        <f>IF(OR($A53="",$D53=""),"",$D53-'Settings'!$B$6)</f>
        <v/>
      </c>
      <c r="J53" s="8">
        <f>IF(OR($A53="",$D53=""),"",IF($H53&gt;0,$D53+ROW()/100000,""))</f>
        <v/>
      </c>
    </row>
    <row r="54">
      <c r="A54" s="4" t="inlineStr">
        <is>
          <t>INV-019</t>
        </is>
      </c>
      <c r="B54" s="8">
        <f>IF($A54="","",IFERROR(INDEX('Items'!$B$3:$B$202,MATCH($A54,'Items'!$A$3:$A$202,0)),""))</f>
        <v/>
      </c>
      <c r="C54" s="4" t="inlineStr">
        <is>
          <t>L7336</t>
        </is>
      </c>
      <c r="D54" s="5" t="n">
        <v>46840</v>
      </c>
      <c r="E54" s="6" t="n">
        <v>14</v>
      </c>
      <c r="F54" s="5" t="n">
        <v>46249</v>
      </c>
      <c r="G54" s="4" t="inlineStr">
        <is>
          <t>Main branch</t>
        </is>
      </c>
      <c r="H54" s="16">
        <f>IF($A54="","",$E54-SUMIFS('Movements'!$F$3:$F$1002,'Movements'!$B$3:$B$1002,$A54,'Movements'!$D$3:$D$1002,$C54,'Movements'!$E$3:$E$1002,"Out")-SUMIFS('Movements'!$F$3:$F$1002,'Movements'!$B$3:$B$1002,$A54,'Movements'!$D$3:$D$1002,$C54,'Movements'!$E$3:$E$1002,"Waste")+SUMIFS('Movements'!$F$3:$F$1002,'Movements'!$B$3:$B$1002,$A54,'Movements'!$D$3:$D$1002,$C54,'Movements'!$E$3:$E$1002,"In"))</f>
        <v/>
      </c>
      <c r="I54" s="16">
        <f>IF(OR($A54="",$D54=""),"",$D54-'Settings'!$B$6)</f>
        <v/>
      </c>
      <c r="J54" s="8">
        <f>IF(OR($A54="",$D54=""),"",IF($H54&gt;0,$D54+ROW()/100000,""))</f>
        <v/>
      </c>
    </row>
    <row r="55">
      <c r="A55" s="4" t="inlineStr">
        <is>
          <t>INV-019</t>
        </is>
      </c>
      <c r="B55" s="8">
        <f>IF($A55="","",IFERROR(INDEX('Items'!$B$3:$B$202,MATCH($A55,'Items'!$A$3:$A$202,0)),""))</f>
        <v/>
      </c>
      <c r="C55" s="4" t="inlineStr">
        <is>
          <t>L7370</t>
        </is>
      </c>
      <c r="D55" s="5" t="n">
        <v>46366</v>
      </c>
      <c r="E55" s="6" t="n">
        <v>11</v>
      </c>
      <c r="F55" s="5" t="n">
        <v>46279</v>
      </c>
      <c r="G55" s="4" t="inlineStr">
        <is>
          <t>Main branch</t>
        </is>
      </c>
      <c r="H55" s="16">
        <f>IF($A55="","",$E55-SUMIFS('Movements'!$F$3:$F$1002,'Movements'!$B$3:$B$1002,$A55,'Movements'!$D$3:$D$1002,$C55,'Movements'!$E$3:$E$1002,"Out")-SUMIFS('Movements'!$F$3:$F$1002,'Movements'!$B$3:$B$1002,$A55,'Movements'!$D$3:$D$1002,$C55,'Movements'!$E$3:$E$1002,"Waste")+SUMIFS('Movements'!$F$3:$F$1002,'Movements'!$B$3:$B$1002,$A55,'Movements'!$D$3:$D$1002,$C55,'Movements'!$E$3:$E$1002,"In"))</f>
        <v/>
      </c>
      <c r="I55" s="16">
        <f>IF(OR($A55="",$D55=""),"",$D55-'Settings'!$B$6)</f>
        <v/>
      </c>
      <c r="J55" s="8">
        <f>IF(OR($A55="",$D55=""),"",IF($H55&gt;0,$D55+ROW()/100000,""))</f>
        <v/>
      </c>
    </row>
    <row r="56">
      <c r="A56" s="4" t="inlineStr">
        <is>
          <t>INV-020</t>
        </is>
      </c>
      <c r="B56" s="8">
        <f>IF($A56="","",IFERROR(INDEX('Items'!$B$3:$B$202,MATCH($A56,'Items'!$A$3:$A$202,0)),""))</f>
        <v/>
      </c>
      <c r="C56" s="4" t="inlineStr">
        <is>
          <t>L7439</t>
        </is>
      </c>
      <c r="D56" s="5" t="n">
        <v>46780</v>
      </c>
      <c r="E56" s="6" t="n">
        <v>3</v>
      </c>
      <c r="F56" s="5" t="n">
        <v>46223</v>
      </c>
      <c r="G56" s="4" t="inlineStr">
        <is>
          <t>Main branch</t>
        </is>
      </c>
      <c r="H56" s="16">
        <f>IF($A56="","",$E56-SUMIFS('Movements'!$F$3:$F$1002,'Movements'!$B$3:$B$1002,$A56,'Movements'!$D$3:$D$1002,$C56,'Movements'!$E$3:$E$1002,"Out")-SUMIFS('Movements'!$F$3:$F$1002,'Movements'!$B$3:$B$1002,$A56,'Movements'!$D$3:$D$1002,$C56,'Movements'!$E$3:$E$1002,"Waste")+SUMIFS('Movements'!$F$3:$F$1002,'Movements'!$B$3:$B$1002,$A56,'Movements'!$D$3:$D$1002,$C56,'Movements'!$E$3:$E$1002,"In"))</f>
        <v/>
      </c>
      <c r="I56" s="16">
        <f>IF(OR($A56="",$D56=""),"",$D56-'Settings'!$B$6)</f>
        <v/>
      </c>
      <c r="J56" s="8">
        <f>IF(OR($A56="",$D56=""),"",IF($H56&gt;0,$D56+ROW()/100000,""))</f>
        <v/>
      </c>
    </row>
    <row r="57">
      <c r="A57" s="4" t="inlineStr">
        <is>
          <t>INV-020</t>
        </is>
      </c>
      <c r="B57" s="8">
        <f>IF($A57="","",IFERROR(INDEX('Items'!$B$3:$B$202,MATCH($A57,'Items'!$A$3:$A$202,0)),""))</f>
        <v/>
      </c>
      <c r="C57" s="4" t="inlineStr">
        <is>
          <t>L7519</t>
        </is>
      </c>
      <c r="D57" s="5" t="n">
        <v>46840</v>
      </c>
      <c r="E57" s="6" t="n">
        <v>3</v>
      </c>
      <c r="F57" s="5" t="n">
        <v>46252</v>
      </c>
      <c r="G57" s="4" t="inlineStr">
        <is>
          <t>Main branch</t>
        </is>
      </c>
      <c r="H57" s="16">
        <f>IF($A57="","",$E57-SUMIFS('Movements'!$F$3:$F$1002,'Movements'!$B$3:$B$1002,$A57,'Movements'!$D$3:$D$1002,$C57,'Movements'!$E$3:$E$1002,"Out")-SUMIFS('Movements'!$F$3:$F$1002,'Movements'!$B$3:$B$1002,$A57,'Movements'!$D$3:$D$1002,$C57,'Movements'!$E$3:$E$1002,"Waste")+SUMIFS('Movements'!$F$3:$F$1002,'Movements'!$B$3:$B$1002,$A57,'Movements'!$D$3:$D$1002,$C57,'Movements'!$E$3:$E$1002,"In"))</f>
        <v/>
      </c>
      <c r="I57" s="16">
        <f>IF(OR($A57="",$D57=""),"",$D57-'Settings'!$B$6)</f>
        <v/>
      </c>
      <c r="J57" s="8">
        <f>IF(OR($A57="",$D57=""),"",IF($H57&gt;0,$D57+ROW()/100000,""))</f>
        <v/>
      </c>
    </row>
    <row r="58">
      <c r="A58" s="4" t="inlineStr">
        <is>
          <t>INV-020</t>
        </is>
      </c>
      <c r="B58" s="8">
        <f>IF($A58="","",IFERROR(INDEX('Items'!$B$3:$B$202,MATCH($A58,'Items'!$A$3:$A$202,0)),""))</f>
        <v/>
      </c>
      <c r="C58" s="4" t="inlineStr">
        <is>
          <t>L7549</t>
        </is>
      </c>
      <c r="D58" s="5" t="n">
        <v>46901</v>
      </c>
      <c r="E58" s="6" t="n">
        <v>10</v>
      </c>
      <c r="F58" s="5" t="n">
        <v>46274</v>
      </c>
      <c r="G58" s="4" t="inlineStr">
        <is>
          <t>Main branch</t>
        </is>
      </c>
      <c r="H58" s="16">
        <f>IF($A58="","",$E58-SUMIFS('Movements'!$F$3:$F$1002,'Movements'!$B$3:$B$1002,$A58,'Movements'!$D$3:$D$1002,$C58,'Movements'!$E$3:$E$1002,"Out")-SUMIFS('Movements'!$F$3:$F$1002,'Movements'!$B$3:$B$1002,$A58,'Movements'!$D$3:$D$1002,$C58,'Movements'!$E$3:$E$1002,"Waste")+SUMIFS('Movements'!$F$3:$F$1002,'Movements'!$B$3:$B$1002,$A58,'Movements'!$D$3:$D$1002,$C58,'Movements'!$E$3:$E$1002,"In"))</f>
        <v/>
      </c>
      <c r="I58" s="16">
        <f>IF(OR($A58="",$D58=""),"",$D58-'Settings'!$B$6)</f>
        <v/>
      </c>
      <c r="J58" s="8">
        <f>IF(OR($A58="",$D58=""),"",IF($H58&gt;0,$D58+ROW()/100000,""))</f>
        <v/>
      </c>
    </row>
    <row r="59">
      <c r="A59" s="4" t="inlineStr">
        <is>
          <t>INV-021</t>
        </is>
      </c>
      <c r="B59" s="8">
        <f>IF($A59="","",IFERROR(INDEX('Items'!$B$3:$B$202,MATCH($A59,'Items'!$A$3:$A$202,0)),""))</f>
        <v/>
      </c>
      <c r="C59" s="4" t="inlineStr">
        <is>
          <t>L7591</t>
        </is>
      </c>
      <c r="D59" s="5" t="n">
        <v>46780</v>
      </c>
      <c r="E59" s="6" t="n">
        <v>4</v>
      </c>
      <c r="F59" s="5" t="n">
        <v>46221</v>
      </c>
      <c r="G59" s="4" t="inlineStr">
        <is>
          <t>Main branch</t>
        </is>
      </c>
      <c r="H59" s="16">
        <f>IF($A59="","",$E59-SUMIFS('Movements'!$F$3:$F$1002,'Movements'!$B$3:$B$1002,$A59,'Movements'!$D$3:$D$1002,$C59,'Movements'!$E$3:$E$1002,"Out")-SUMIFS('Movements'!$F$3:$F$1002,'Movements'!$B$3:$B$1002,$A59,'Movements'!$D$3:$D$1002,$C59,'Movements'!$E$3:$E$1002,"Waste")+SUMIFS('Movements'!$F$3:$F$1002,'Movements'!$B$3:$B$1002,$A59,'Movements'!$D$3:$D$1002,$C59,'Movements'!$E$3:$E$1002,"In"))</f>
        <v/>
      </c>
      <c r="I59" s="16">
        <f>IF(OR($A59="",$D59=""),"",$D59-'Settings'!$B$6)</f>
        <v/>
      </c>
      <c r="J59" s="8">
        <f>IF(OR($A59="",$D59=""),"",IF($H59&gt;0,$D59+ROW()/100000,""))</f>
        <v/>
      </c>
    </row>
    <row r="60">
      <c r="A60" s="4" t="inlineStr">
        <is>
          <t>INV-021</t>
        </is>
      </c>
      <c r="B60" s="8">
        <f>IF($A60="","",IFERROR(INDEX('Items'!$B$3:$B$202,MATCH($A60,'Items'!$A$3:$A$202,0)),""))</f>
        <v/>
      </c>
      <c r="C60" s="4" t="inlineStr">
        <is>
          <t>L7661</t>
        </is>
      </c>
      <c r="D60" s="5" t="n">
        <v>46840</v>
      </c>
      <c r="E60" s="6" t="n">
        <v>8</v>
      </c>
      <c r="F60" s="5" t="n">
        <v>46254</v>
      </c>
      <c r="G60" s="4" t="inlineStr">
        <is>
          <t>Main branch</t>
        </is>
      </c>
      <c r="H60" s="16">
        <f>IF($A60="","",$E60-SUMIFS('Movements'!$F$3:$F$1002,'Movements'!$B$3:$B$1002,$A60,'Movements'!$D$3:$D$1002,$C60,'Movements'!$E$3:$E$1002,"Out")-SUMIFS('Movements'!$F$3:$F$1002,'Movements'!$B$3:$B$1002,$A60,'Movements'!$D$3:$D$1002,$C60,'Movements'!$E$3:$E$1002,"Waste")+SUMIFS('Movements'!$F$3:$F$1002,'Movements'!$B$3:$B$1002,$A60,'Movements'!$D$3:$D$1002,$C60,'Movements'!$E$3:$E$1002,"In"))</f>
        <v/>
      </c>
      <c r="I60" s="16">
        <f>IF(OR($A60="",$D60=""),"",$D60-'Settings'!$B$6)</f>
        <v/>
      </c>
      <c r="J60" s="8">
        <f>IF(OR($A60="",$D60=""),"",IF($H60&gt;0,$D60+ROW()/100000,""))</f>
        <v/>
      </c>
    </row>
    <row r="61">
      <c r="A61" s="4" t="inlineStr">
        <is>
          <t>INV-021</t>
        </is>
      </c>
      <c r="B61" s="8">
        <f>IF($A61="","",IFERROR(INDEX('Items'!$B$3:$B$202,MATCH($A61,'Items'!$A$3:$A$202,0)),""))</f>
        <v/>
      </c>
      <c r="C61" s="4" t="inlineStr">
        <is>
          <t>L7749</t>
        </is>
      </c>
      <c r="D61" s="5" t="n">
        <v>46901</v>
      </c>
      <c r="E61" s="6" t="n">
        <v>11</v>
      </c>
      <c r="F61" s="5" t="n">
        <v>46275</v>
      </c>
      <c r="G61" s="4" t="inlineStr">
        <is>
          <t>Main branch</t>
        </is>
      </c>
      <c r="H61" s="16">
        <f>IF($A61="","",$E61-SUMIFS('Movements'!$F$3:$F$1002,'Movements'!$B$3:$B$1002,$A61,'Movements'!$D$3:$D$1002,$C61,'Movements'!$E$3:$E$1002,"Out")-SUMIFS('Movements'!$F$3:$F$1002,'Movements'!$B$3:$B$1002,$A61,'Movements'!$D$3:$D$1002,$C61,'Movements'!$E$3:$E$1002,"Waste")+SUMIFS('Movements'!$F$3:$F$1002,'Movements'!$B$3:$B$1002,$A61,'Movements'!$D$3:$D$1002,$C61,'Movements'!$E$3:$E$1002,"In"))</f>
        <v/>
      </c>
      <c r="I61" s="16">
        <f>IF(OR($A61="",$D61=""),"",$D61-'Settings'!$B$6)</f>
        <v/>
      </c>
      <c r="J61" s="8">
        <f>IF(OR($A61="",$D61=""),"",IF($H61&gt;0,$D61+ROW()/100000,""))</f>
        <v/>
      </c>
    </row>
    <row r="62">
      <c r="A62" s="4" t="inlineStr">
        <is>
          <t>INV-022</t>
        </is>
      </c>
      <c r="B62" s="8">
        <f>IF($A62="","",IFERROR(INDEX('Items'!$B$3:$B$202,MATCH($A62,'Items'!$A$3:$A$202,0)),""))</f>
        <v/>
      </c>
      <c r="C62" s="4" t="inlineStr">
        <is>
          <t>L7798</t>
        </is>
      </c>
      <c r="D62" s="5" t="n">
        <v>46780</v>
      </c>
      <c r="E62" s="6" t="n">
        <v>3</v>
      </c>
      <c r="F62" s="5" t="n">
        <v>46223</v>
      </c>
      <c r="G62" s="4" t="inlineStr">
        <is>
          <t>Main branch</t>
        </is>
      </c>
      <c r="H62" s="16">
        <f>IF($A62="","",$E62-SUMIFS('Movements'!$F$3:$F$1002,'Movements'!$B$3:$B$1002,$A62,'Movements'!$D$3:$D$1002,$C62,'Movements'!$E$3:$E$1002,"Out")-SUMIFS('Movements'!$F$3:$F$1002,'Movements'!$B$3:$B$1002,$A62,'Movements'!$D$3:$D$1002,$C62,'Movements'!$E$3:$E$1002,"Waste")+SUMIFS('Movements'!$F$3:$F$1002,'Movements'!$B$3:$B$1002,$A62,'Movements'!$D$3:$D$1002,$C62,'Movements'!$E$3:$E$1002,"In"))</f>
        <v/>
      </c>
      <c r="I62" s="16">
        <f>IF(OR($A62="",$D62=""),"",$D62-'Settings'!$B$6)</f>
        <v/>
      </c>
      <c r="J62" s="8">
        <f>IF(OR($A62="",$D62=""),"",IF($H62&gt;0,$D62+ROW()/100000,""))</f>
        <v/>
      </c>
    </row>
    <row r="63">
      <c r="A63" s="4" t="inlineStr">
        <is>
          <t>INV-022</t>
        </is>
      </c>
      <c r="B63" s="8">
        <f>IF($A63="","",IFERROR(INDEX('Items'!$B$3:$B$202,MATCH($A63,'Items'!$A$3:$A$202,0)),""))</f>
        <v/>
      </c>
      <c r="C63" s="4" t="inlineStr">
        <is>
          <t>L7821</t>
        </is>
      </c>
      <c r="D63" s="5" t="n">
        <v>46840</v>
      </c>
      <c r="E63" s="6" t="n">
        <v>7</v>
      </c>
      <c r="F63" s="5" t="n">
        <v>46247</v>
      </c>
      <c r="G63" s="4" t="inlineStr">
        <is>
          <t>Main branch</t>
        </is>
      </c>
      <c r="H63" s="16">
        <f>IF($A63="","",$E63-SUMIFS('Movements'!$F$3:$F$1002,'Movements'!$B$3:$B$1002,$A63,'Movements'!$D$3:$D$1002,$C63,'Movements'!$E$3:$E$1002,"Out")-SUMIFS('Movements'!$F$3:$F$1002,'Movements'!$B$3:$B$1002,$A63,'Movements'!$D$3:$D$1002,$C63,'Movements'!$E$3:$E$1002,"Waste")+SUMIFS('Movements'!$F$3:$F$1002,'Movements'!$B$3:$B$1002,$A63,'Movements'!$D$3:$D$1002,$C63,'Movements'!$E$3:$E$1002,"In"))</f>
        <v/>
      </c>
      <c r="I63" s="16">
        <f>IF(OR($A63="",$D63=""),"",$D63-'Settings'!$B$6)</f>
        <v/>
      </c>
      <c r="J63" s="8">
        <f>IF(OR($A63="",$D63=""),"",IF($H63&gt;0,$D63+ROW()/100000,""))</f>
        <v/>
      </c>
    </row>
    <row r="64">
      <c r="A64" s="4" t="inlineStr">
        <is>
          <t>INV-022</t>
        </is>
      </c>
      <c r="B64" s="8">
        <f>IF($A64="","",IFERROR(INDEX('Items'!$B$3:$B$202,MATCH($A64,'Items'!$A$3:$A$202,0)),""))</f>
        <v/>
      </c>
      <c r="C64" s="4" t="inlineStr">
        <is>
          <t>L7850</t>
        </is>
      </c>
      <c r="D64" s="5" t="n">
        <v>46901</v>
      </c>
      <c r="E64" s="6" t="n">
        <v>8</v>
      </c>
      <c r="F64" s="5" t="n">
        <v>46279</v>
      </c>
      <c r="G64" s="4" t="inlineStr">
        <is>
          <t>Main branch</t>
        </is>
      </c>
      <c r="H64" s="16">
        <f>IF($A64="","",$E64-SUMIFS('Movements'!$F$3:$F$1002,'Movements'!$B$3:$B$1002,$A64,'Movements'!$D$3:$D$1002,$C64,'Movements'!$E$3:$E$1002,"Out")-SUMIFS('Movements'!$F$3:$F$1002,'Movements'!$B$3:$B$1002,$A64,'Movements'!$D$3:$D$1002,$C64,'Movements'!$E$3:$E$1002,"Waste")+SUMIFS('Movements'!$F$3:$F$1002,'Movements'!$B$3:$B$1002,$A64,'Movements'!$D$3:$D$1002,$C64,'Movements'!$E$3:$E$1002,"In"))</f>
        <v/>
      </c>
      <c r="I64" s="16">
        <f>IF(OR($A64="",$D64=""),"",$D64-'Settings'!$B$6)</f>
        <v/>
      </c>
      <c r="J64" s="8">
        <f>IF(OR($A64="",$D64=""),"",IF($H64&gt;0,$D64+ROW()/100000,""))</f>
        <v/>
      </c>
    </row>
    <row r="65">
      <c r="A65" s="4" t="inlineStr">
        <is>
          <t>INV-023</t>
        </is>
      </c>
      <c r="B65" s="8">
        <f>IF($A65="","",IFERROR(INDEX('Items'!$B$3:$B$202,MATCH($A65,'Items'!$A$3:$A$202,0)),""))</f>
        <v/>
      </c>
      <c r="C65" s="4" t="inlineStr">
        <is>
          <t>L7921</t>
        </is>
      </c>
      <c r="D65" s="5" t="n">
        <v>46317</v>
      </c>
      <c r="E65" s="6" t="n">
        <v>15</v>
      </c>
      <c r="F65" s="5" t="n">
        <v>46193</v>
      </c>
      <c r="G65" s="4" t="inlineStr">
        <is>
          <t>Main branch</t>
        </is>
      </c>
      <c r="H65" s="16">
        <f>IF($A65="","",$E65-SUMIFS('Movements'!$F$3:$F$1002,'Movements'!$B$3:$B$1002,$A65,'Movements'!$D$3:$D$1002,$C65,'Movements'!$E$3:$E$1002,"Out")-SUMIFS('Movements'!$F$3:$F$1002,'Movements'!$B$3:$B$1002,$A65,'Movements'!$D$3:$D$1002,$C65,'Movements'!$E$3:$E$1002,"Waste")+SUMIFS('Movements'!$F$3:$F$1002,'Movements'!$B$3:$B$1002,$A65,'Movements'!$D$3:$D$1002,$C65,'Movements'!$E$3:$E$1002,"In"))</f>
        <v/>
      </c>
      <c r="I65" s="16">
        <f>IF(OR($A65="",$D65=""),"",$D65-'Settings'!$B$6)</f>
        <v/>
      </c>
      <c r="J65" s="8">
        <f>IF(OR($A65="",$D65=""),"",IF($H65&gt;0,$D65+ROW()/100000,""))</f>
        <v/>
      </c>
    </row>
    <row r="66">
      <c r="A66" s="4" t="inlineStr">
        <is>
          <t>INV-023</t>
        </is>
      </c>
      <c r="B66" s="8">
        <f>IF($A66="","",IFERROR(INDEX('Items'!$B$3:$B$202,MATCH($A66,'Items'!$A$3:$A$202,0)),""))</f>
        <v/>
      </c>
      <c r="C66" s="4" t="inlineStr">
        <is>
          <t>L7993</t>
        </is>
      </c>
      <c r="D66" s="5" t="n">
        <v>46538</v>
      </c>
      <c r="E66" s="6" t="n">
        <v>11</v>
      </c>
      <c r="F66" s="5" t="n">
        <v>46247</v>
      </c>
      <c r="G66" s="4" t="inlineStr">
        <is>
          <t>Main branch</t>
        </is>
      </c>
      <c r="H66" s="16">
        <f>IF($A66="","",$E66-SUMIFS('Movements'!$F$3:$F$1002,'Movements'!$B$3:$B$1002,$A66,'Movements'!$D$3:$D$1002,$C66,'Movements'!$E$3:$E$1002,"Out")-SUMIFS('Movements'!$F$3:$F$1002,'Movements'!$B$3:$B$1002,$A66,'Movements'!$D$3:$D$1002,$C66,'Movements'!$E$3:$E$1002,"Waste")+SUMIFS('Movements'!$F$3:$F$1002,'Movements'!$B$3:$B$1002,$A66,'Movements'!$D$3:$D$1002,$C66,'Movements'!$E$3:$E$1002,"In"))</f>
        <v/>
      </c>
      <c r="I66" s="16">
        <f>IF(OR($A66="",$D66=""),"",$D66-'Settings'!$B$6)</f>
        <v/>
      </c>
      <c r="J66" s="8">
        <f>IF(OR($A66="",$D66=""),"",IF($H66&gt;0,$D66+ROW()/100000,""))</f>
        <v/>
      </c>
    </row>
    <row r="67">
      <c r="A67" s="4" t="inlineStr">
        <is>
          <t>INV-023</t>
        </is>
      </c>
      <c r="B67" s="8">
        <f>IF($A67="","",IFERROR(INDEX('Items'!$B$3:$B$202,MATCH($A67,'Items'!$A$3:$A$202,0)),""))</f>
        <v/>
      </c>
      <c r="C67" s="4" t="inlineStr">
        <is>
          <t>L8051</t>
        </is>
      </c>
      <c r="D67" s="5" t="n">
        <v>46630</v>
      </c>
      <c r="E67" s="6" t="n">
        <v>32</v>
      </c>
      <c r="F67" s="5" t="n">
        <v>46275</v>
      </c>
      <c r="G67" s="4" t="inlineStr">
        <is>
          <t>Main branch</t>
        </is>
      </c>
      <c r="H67" s="16">
        <f>IF($A67="","",$E67-SUMIFS('Movements'!$F$3:$F$1002,'Movements'!$B$3:$B$1002,$A67,'Movements'!$D$3:$D$1002,$C67,'Movements'!$E$3:$E$1002,"Out")-SUMIFS('Movements'!$F$3:$F$1002,'Movements'!$B$3:$B$1002,$A67,'Movements'!$D$3:$D$1002,$C67,'Movements'!$E$3:$E$1002,"Waste")+SUMIFS('Movements'!$F$3:$F$1002,'Movements'!$B$3:$B$1002,$A67,'Movements'!$D$3:$D$1002,$C67,'Movements'!$E$3:$E$1002,"In"))</f>
        <v/>
      </c>
      <c r="I67" s="16">
        <f>IF(OR($A67="",$D67=""),"",$D67-'Settings'!$B$6)</f>
        <v/>
      </c>
      <c r="J67" s="8">
        <f>IF(OR($A67="",$D67=""),"",IF($H67&gt;0,$D67+ROW()/100000,""))</f>
        <v/>
      </c>
    </row>
    <row r="68">
      <c r="A68" s="4" t="inlineStr">
        <is>
          <t>INV-024</t>
        </is>
      </c>
      <c r="B68" s="8">
        <f>IF($A68="","",IFERROR(INDEX('Items'!$B$3:$B$202,MATCH($A68,'Items'!$A$3:$A$202,0)),""))</f>
        <v/>
      </c>
      <c r="C68" s="4" t="inlineStr">
        <is>
          <t>L8110</t>
        </is>
      </c>
      <c r="D68" s="5" t="n">
        <v>46658</v>
      </c>
      <c r="E68" s="6" t="n">
        <v>6</v>
      </c>
      <c r="F68" s="5" t="n">
        <v>46232</v>
      </c>
      <c r="G68" s="4" t="inlineStr">
        <is>
          <t>Main branch</t>
        </is>
      </c>
      <c r="H68" s="16">
        <f>IF($A68="","",$E68-SUMIFS('Movements'!$F$3:$F$1002,'Movements'!$B$3:$B$1002,$A68,'Movements'!$D$3:$D$1002,$C68,'Movements'!$E$3:$E$1002,"Out")-SUMIFS('Movements'!$F$3:$F$1002,'Movements'!$B$3:$B$1002,$A68,'Movements'!$D$3:$D$1002,$C68,'Movements'!$E$3:$E$1002,"Waste")+SUMIFS('Movements'!$F$3:$F$1002,'Movements'!$B$3:$B$1002,$A68,'Movements'!$D$3:$D$1002,$C68,'Movements'!$E$3:$E$1002,"In"))</f>
        <v/>
      </c>
      <c r="I68" s="16">
        <f>IF(OR($A68="",$D68=""),"",$D68-'Settings'!$B$6)</f>
        <v/>
      </c>
      <c r="J68" s="8">
        <f>IF(OR($A68="",$D68=""),"",IF($H68&gt;0,$D68+ROW()/100000,""))</f>
        <v/>
      </c>
    </row>
    <row r="69">
      <c r="A69" s="4" t="inlineStr">
        <is>
          <t>INV-024</t>
        </is>
      </c>
      <c r="B69" s="8">
        <f>IF($A69="","",IFERROR(INDEX('Items'!$B$3:$B$202,MATCH($A69,'Items'!$A$3:$A$202,0)),""))</f>
        <v/>
      </c>
      <c r="C69" s="4" t="inlineStr">
        <is>
          <t>L8155</t>
        </is>
      </c>
      <c r="D69" s="5" t="n">
        <v>46719</v>
      </c>
      <c r="E69" s="6" t="n">
        <v>12</v>
      </c>
      <c r="F69" s="5" t="n">
        <v>46246</v>
      </c>
      <c r="G69" s="4" t="inlineStr">
        <is>
          <t>Main branch</t>
        </is>
      </c>
      <c r="H69" s="16">
        <f>IF($A69="","",$E69-SUMIFS('Movements'!$F$3:$F$1002,'Movements'!$B$3:$B$1002,$A69,'Movements'!$D$3:$D$1002,$C69,'Movements'!$E$3:$E$1002,"Out")-SUMIFS('Movements'!$F$3:$F$1002,'Movements'!$B$3:$B$1002,$A69,'Movements'!$D$3:$D$1002,$C69,'Movements'!$E$3:$E$1002,"Waste")+SUMIFS('Movements'!$F$3:$F$1002,'Movements'!$B$3:$B$1002,$A69,'Movements'!$D$3:$D$1002,$C69,'Movements'!$E$3:$E$1002,"In"))</f>
        <v/>
      </c>
      <c r="I69" s="16">
        <f>IF(OR($A69="",$D69=""),"",$D69-'Settings'!$B$6)</f>
        <v/>
      </c>
      <c r="J69" s="8">
        <f>IF(OR($A69="",$D69=""),"",IF($H69&gt;0,$D69+ROW()/100000,""))</f>
        <v/>
      </c>
    </row>
    <row r="70">
      <c r="A70" s="4" t="inlineStr">
        <is>
          <t>INV-024</t>
        </is>
      </c>
      <c r="B70" s="8">
        <f>IF($A70="","",IFERROR(INDEX('Items'!$B$3:$B$202,MATCH($A70,'Items'!$A$3:$A$202,0)),""))</f>
        <v/>
      </c>
      <c r="C70" s="4" t="inlineStr">
        <is>
          <t>L8237</t>
        </is>
      </c>
      <c r="D70" s="5" t="n">
        <v>46780</v>
      </c>
      <c r="E70" s="6" t="n">
        <v>37</v>
      </c>
      <c r="F70" s="5" t="n">
        <v>46273</v>
      </c>
      <c r="G70" s="4" t="inlineStr">
        <is>
          <t>Main branch</t>
        </is>
      </c>
      <c r="H70" s="16">
        <f>IF($A70="","",$E70-SUMIFS('Movements'!$F$3:$F$1002,'Movements'!$B$3:$B$1002,$A70,'Movements'!$D$3:$D$1002,$C70,'Movements'!$E$3:$E$1002,"Out")-SUMIFS('Movements'!$F$3:$F$1002,'Movements'!$B$3:$B$1002,$A70,'Movements'!$D$3:$D$1002,$C70,'Movements'!$E$3:$E$1002,"Waste")+SUMIFS('Movements'!$F$3:$F$1002,'Movements'!$B$3:$B$1002,$A70,'Movements'!$D$3:$D$1002,$C70,'Movements'!$E$3:$E$1002,"In"))</f>
        <v/>
      </c>
      <c r="I70" s="16">
        <f>IF(OR($A70="",$D70=""),"",$D70-'Settings'!$B$6)</f>
        <v/>
      </c>
      <c r="J70" s="8">
        <f>IF(OR($A70="",$D70=""),"",IF($H70&gt;0,$D70+ROW()/100000,""))</f>
        <v/>
      </c>
    </row>
    <row r="71">
      <c r="A71" s="4" t="inlineStr">
        <is>
          <t>INV-025</t>
        </is>
      </c>
      <c r="B71" s="8">
        <f>IF($A71="","",IFERROR(INDEX('Items'!$B$3:$B$202,MATCH($A71,'Items'!$A$3:$A$202,0)),""))</f>
        <v/>
      </c>
      <c r="C71" s="4" t="inlineStr">
        <is>
          <t>L8249</t>
        </is>
      </c>
      <c r="D71" s="5" t="n">
        <v>46658</v>
      </c>
      <c r="E71" s="6" t="n">
        <v>4</v>
      </c>
      <c r="F71" s="5" t="n">
        <v>46228</v>
      </c>
      <c r="G71" s="4" t="inlineStr">
        <is>
          <t>Main branch</t>
        </is>
      </c>
      <c r="H71" s="16">
        <f>IF($A71="","",$E71-SUMIFS('Movements'!$F$3:$F$1002,'Movements'!$B$3:$B$1002,$A71,'Movements'!$D$3:$D$1002,$C71,'Movements'!$E$3:$E$1002,"Out")-SUMIFS('Movements'!$F$3:$F$1002,'Movements'!$B$3:$B$1002,$A71,'Movements'!$D$3:$D$1002,$C71,'Movements'!$E$3:$E$1002,"Waste")+SUMIFS('Movements'!$F$3:$F$1002,'Movements'!$B$3:$B$1002,$A71,'Movements'!$D$3:$D$1002,$C71,'Movements'!$E$3:$E$1002,"In"))</f>
        <v/>
      </c>
      <c r="I71" s="16">
        <f>IF(OR($A71="",$D71=""),"",$D71-'Settings'!$B$6)</f>
        <v/>
      </c>
      <c r="J71" s="8">
        <f>IF(OR($A71="",$D71=""),"",IF($H71&gt;0,$D71+ROW()/100000,""))</f>
        <v/>
      </c>
    </row>
    <row r="72">
      <c r="A72" s="4" t="inlineStr">
        <is>
          <t>INV-025</t>
        </is>
      </c>
      <c r="B72" s="8">
        <f>IF($A72="","",IFERROR(INDEX('Items'!$B$3:$B$202,MATCH($A72,'Items'!$A$3:$A$202,0)),""))</f>
        <v/>
      </c>
      <c r="C72" s="4" t="inlineStr">
        <is>
          <t>L8335</t>
        </is>
      </c>
      <c r="D72" s="5" t="n">
        <v>46719</v>
      </c>
      <c r="E72" s="6" t="n">
        <v>6</v>
      </c>
      <c r="F72" s="5" t="n">
        <v>46249</v>
      </c>
      <c r="G72" s="4" t="inlineStr">
        <is>
          <t>Main branch</t>
        </is>
      </c>
      <c r="H72" s="16">
        <f>IF($A72="","",$E72-SUMIFS('Movements'!$F$3:$F$1002,'Movements'!$B$3:$B$1002,$A72,'Movements'!$D$3:$D$1002,$C72,'Movements'!$E$3:$E$1002,"Out")-SUMIFS('Movements'!$F$3:$F$1002,'Movements'!$B$3:$B$1002,$A72,'Movements'!$D$3:$D$1002,$C72,'Movements'!$E$3:$E$1002,"Waste")+SUMIFS('Movements'!$F$3:$F$1002,'Movements'!$B$3:$B$1002,$A72,'Movements'!$D$3:$D$1002,$C72,'Movements'!$E$3:$E$1002,"In"))</f>
        <v/>
      </c>
      <c r="I72" s="16">
        <f>IF(OR($A72="",$D72=""),"",$D72-'Settings'!$B$6)</f>
        <v/>
      </c>
      <c r="J72" s="8">
        <f>IF(OR($A72="",$D72=""),"",IF($H72&gt;0,$D72+ROW()/100000,""))</f>
        <v/>
      </c>
    </row>
    <row r="73">
      <c r="A73" s="4" t="inlineStr">
        <is>
          <t>INV-025</t>
        </is>
      </c>
      <c r="B73" s="8">
        <f>IF($A73="","",IFERROR(INDEX('Items'!$B$3:$B$202,MATCH($A73,'Items'!$A$3:$A$202,0)),""))</f>
        <v/>
      </c>
      <c r="C73" s="4" t="inlineStr">
        <is>
          <t>L8352</t>
        </is>
      </c>
      <c r="D73" s="5" t="n">
        <v>46780</v>
      </c>
      <c r="E73" s="6" t="n">
        <v>16</v>
      </c>
      <c r="F73" s="5" t="n">
        <v>46279</v>
      </c>
      <c r="G73" s="4" t="inlineStr">
        <is>
          <t>Main branch</t>
        </is>
      </c>
      <c r="H73" s="16">
        <f>IF($A73="","",$E73-SUMIFS('Movements'!$F$3:$F$1002,'Movements'!$B$3:$B$1002,$A73,'Movements'!$D$3:$D$1002,$C73,'Movements'!$E$3:$E$1002,"Out")-SUMIFS('Movements'!$F$3:$F$1002,'Movements'!$B$3:$B$1002,$A73,'Movements'!$D$3:$D$1002,$C73,'Movements'!$E$3:$E$1002,"Waste")+SUMIFS('Movements'!$F$3:$F$1002,'Movements'!$B$3:$B$1002,$A73,'Movements'!$D$3:$D$1002,$C73,'Movements'!$E$3:$E$1002,"In"))</f>
        <v/>
      </c>
      <c r="I73" s="16">
        <f>IF(OR($A73="",$D73=""),"",$D73-'Settings'!$B$6)</f>
        <v/>
      </c>
      <c r="J73" s="8">
        <f>IF(OR($A73="",$D73=""),"",IF($H73&gt;0,$D73+ROW()/100000,""))</f>
        <v/>
      </c>
    </row>
    <row r="74">
      <c r="A74" s="4" t="inlineStr">
        <is>
          <t>INV-026</t>
        </is>
      </c>
      <c r="B74" s="8">
        <f>IF($A74="","",IFERROR(INDEX('Items'!$B$3:$B$202,MATCH($A74,'Items'!$A$3:$A$202,0)),""))</f>
        <v/>
      </c>
      <c r="C74" s="4" t="inlineStr">
        <is>
          <t>L8406</t>
        </is>
      </c>
      <c r="D74" s="5" t="n">
        <v>46658</v>
      </c>
      <c r="E74" s="6" t="n">
        <v>4</v>
      </c>
      <c r="F74" s="5" t="n">
        <v>46227</v>
      </c>
      <c r="G74" s="4" t="inlineStr">
        <is>
          <t>Main branch</t>
        </is>
      </c>
      <c r="H74" s="16">
        <f>IF($A74="","",$E74-SUMIFS('Movements'!$F$3:$F$1002,'Movements'!$B$3:$B$1002,$A74,'Movements'!$D$3:$D$1002,$C74,'Movements'!$E$3:$E$1002,"Out")-SUMIFS('Movements'!$F$3:$F$1002,'Movements'!$B$3:$B$1002,$A74,'Movements'!$D$3:$D$1002,$C74,'Movements'!$E$3:$E$1002,"Waste")+SUMIFS('Movements'!$F$3:$F$1002,'Movements'!$B$3:$B$1002,$A74,'Movements'!$D$3:$D$1002,$C74,'Movements'!$E$3:$E$1002,"In"))</f>
        <v/>
      </c>
      <c r="I74" s="16">
        <f>IF(OR($A74="",$D74=""),"",$D74-'Settings'!$B$6)</f>
        <v/>
      </c>
      <c r="J74" s="8">
        <f>IF(OR($A74="",$D74=""),"",IF($H74&gt;0,$D74+ROW()/100000,""))</f>
        <v/>
      </c>
    </row>
    <row r="75">
      <c r="A75" s="4" t="inlineStr">
        <is>
          <t>INV-026</t>
        </is>
      </c>
      <c r="B75" s="8">
        <f>IF($A75="","",IFERROR(INDEX('Items'!$B$3:$B$202,MATCH($A75,'Items'!$A$3:$A$202,0)),""))</f>
        <v/>
      </c>
      <c r="C75" s="4" t="inlineStr">
        <is>
          <t>L8443</t>
        </is>
      </c>
      <c r="D75" s="5" t="n">
        <v>46719</v>
      </c>
      <c r="E75" s="6" t="n">
        <v>8</v>
      </c>
      <c r="F75" s="5" t="n">
        <v>46247</v>
      </c>
      <c r="G75" s="4" t="inlineStr">
        <is>
          <t>Main branch</t>
        </is>
      </c>
      <c r="H75" s="16">
        <f>IF($A75="","",$E75-SUMIFS('Movements'!$F$3:$F$1002,'Movements'!$B$3:$B$1002,$A75,'Movements'!$D$3:$D$1002,$C75,'Movements'!$E$3:$E$1002,"Out")-SUMIFS('Movements'!$F$3:$F$1002,'Movements'!$B$3:$B$1002,$A75,'Movements'!$D$3:$D$1002,$C75,'Movements'!$E$3:$E$1002,"Waste")+SUMIFS('Movements'!$F$3:$F$1002,'Movements'!$B$3:$B$1002,$A75,'Movements'!$D$3:$D$1002,$C75,'Movements'!$E$3:$E$1002,"In"))</f>
        <v/>
      </c>
      <c r="I75" s="16">
        <f>IF(OR($A75="",$D75=""),"",$D75-'Settings'!$B$6)</f>
        <v/>
      </c>
      <c r="J75" s="8">
        <f>IF(OR($A75="",$D75=""),"",IF($H75&gt;0,$D75+ROW()/100000,""))</f>
        <v/>
      </c>
    </row>
    <row r="76">
      <c r="A76" s="4" t="inlineStr">
        <is>
          <t>INV-026</t>
        </is>
      </c>
      <c r="B76" s="8">
        <f>IF($A76="","",IFERROR(INDEX('Items'!$B$3:$B$202,MATCH($A76,'Items'!$A$3:$A$202,0)),""))</f>
        <v/>
      </c>
      <c r="C76" s="4" t="inlineStr">
        <is>
          <t>L8465</t>
        </is>
      </c>
      <c r="D76" s="5" t="n">
        <v>46780</v>
      </c>
      <c r="E76" s="6" t="n">
        <v>18</v>
      </c>
      <c r="F76" s="5" t="n">
        <v>46280</v>
      </c>
      <c r="G76" s="4" t="inlineStr">
        <is>
          <t>Main branch</t>
        </is>
      </c>
      <c r="H76" s="16">
        <f>IF($A76="","",$E76-SUMIFS('Movements'!$F$3:$F$1002,'Movements'!$B$3:$B$1002,$A76,'Movements'!$D$3:$D$1002,$C76,'Movements'!$E$3:$E$1002,"Out")-SUMIFS('Movements'!$F$3:$F$1002,'Movements'!$B$3:$B$1002,$A76,'Movements'!$D$3:$D$1002,$C76,'Movements'!$E$3:$E$1002,"Waste")+SUMIFS('Movements'!$F$3:$F$1002,'Movements'!$B$3:$B$1002,$A76,'Movements'!$D$3:$D$1002,$C76,'Movements'!$E$3:$E$1002,"In"))</f>
        <v/>
      </c>
      <c r="I76" s="16">
        <f>IF(OR($A76="",$D76=""),"",$D76-'Settings'!$B$6)</f>
        <v/>
      </c>
      <c r="J76" s="8">
        <f>IF(OR($A76="",$D76=""),"",IF($H76&gt;0,$D76+ROW()/100000,""))</f>
        <v/>
      </c>
    </row>
    <row r="77">
      <c r="A77" s="4" t="inlineStr">
        <is>
          <t>INV-027</t>
        </is>
      </c>
      <c r="B77" s="8">
        <f>IF($A77="","",IFERROR(INDEX('Items'!$B$3:$B$202,MATCH($A77,'Items'!$A$3:$A$202,0)),""))</f>
        <v/>
      </c>
      <c r="C77" s="4" t="inlineStr">
        <is>
          <t>L8487</t>
        </is>
      </c>
      <c r="D77" s="5" t="n">
        <v>46658</v>
      </c>
      <c r="E77" s="6" t="n">
        <v>6</v>
      </c>
      <c r="F77" s="5" t="n">
        <v>46230</v>
      </c>
      <c r="G77" s="4" t="inlineStr">
        <is>
          <t>Main branch</t>
        </is>
      </c>
      <c r="H77" s="16">
        <f>IF($A77="","",$E77-SUMIFS('Movements'!$F$3:$F$1002,'Movements'!$B$3:$B$1002,$A77,'Movements'!$D$3:$D$1002,$C77,'Movements'!$E$3:$E$1002,"Out")-SUMIFS('Movements'!$F$3:$F$1002,'Movements'!$B$3:$B$1002,$A77,'Movements'!$D$3:$D$1002,$C77,'Movements'!$E$3:$E$1002,"Waste")+SUMIFS('Movements'!$F$3:$F$1002,'Movements'!$B$3:$B$1002,$A77,'Movements'!$D$3:$D$1002,$C77,'Movements'!$E$3:$E$1002,"In"))</f>
        <v/>
      </c>
      <c r="I77" s="16">
        <f>IF(OR($A77="",$D77=""),"",$D77-'Settings'!$B$6)</f>
        <v/>
      </c>
      <c r="J77" s="8">
        <f>IF(OR($A77="",$D77=""),"",IF($H77&gt;0,$D77+ROW()/100000,""))</f>
        <v/>
      </c>
    </row>
    <row r="78">
      <c r="A78" s="4" t="inlineStr">
        <is>
          <t>INV-027</t>
        </is>
      </c>
      <c r="B78" s="8">
        <f>IF($A78="","",IFERROR(INDEX('Items'!$B$3:$B$202,MATCH($A78,'Items'!$A$3:$A$202,0)),""))</f>
        <v/>
      </c>
      <c r="C78" s="4" t="inlineStr">
        <is>
          <t>L8544</t>
        </is>
      </c>
      <c r="D78" s="5" t="n">
        <v>46719</v>
      </c>
      <c r="E78" s="6" t="n">
        <v>14</v>
      </c>
      <c r="F78" s="5" t="n">
        <v>46252</v>
      </c>
      <c r="G78" s="4" t="inlineStr">
        <is>
          <t>Main branch</t>
        </is>
      </c>
      <c r="H78" s="16">
        <f>IF($A78="","",$E78-SUMIFS('Movements'!$F$3:$F$1002,'Movements'!$B$3:$B$1002,$A78,'Movements'!$D$3:$D$1002,$C78,'Movements'!$E$3:$E$1002,"Out")-SUMIFS('Movements'!$F$3:$F$1002,'Movements'!$B$3:$B$1002,$A78,'Movements'!$D$3:$D$1002,$C78,'Movements'!$E$3:$E$1002,"Waste")+SUMIFS('Movements'!$F$3:$F$1002,'Movements'!$B$3:$B$1002,$A78,'Movements'!$D$3:$D$1002,$C78,'Movements'!$E$3:$E$1002,"In"))</f>
        <v/>
      </c>
      <c r="I78" s="16">
        <f>IF(OR($A78="",$D78=""),"",$D78-'Settings'!$B$6)</f>
        <v/>
      </c>
      <c r="J78" s="8">
        <f>IF(OR($A78="",$D78=""),"",IF($H78&gt;0,$D78+ROW()/100000,""))</f>
        <v/>
      </c>
    </row>
    <row r="79">
      <c r="A79" s="4" t="inlineStr">
        <is>
          <t>INV-027</t>
        </is>
      </c>
      <c r="B79" s="8">
        <f>IF($A79="","",IFERROR(INDEX('Items'!$B$3:$B$202,MATCH($A79,'Items'!$A$3:$A$202,0)),""))</f>
        <v/>
      </c>
      <c r="C79" s="4" t="inlineStr">
        <is>
          <t>L8624</t>
        </is>
      </c>
      <c r="D79" s="5" t="n">
        <v>46780</v>
      </c>
      <c r="E79" s="6" t="n">
        <v>5</v>
      </c>
      <c r="F79" s="5" t="n">
        <v>46280</v>
      </c>
      <c r="G79" s="4" t="inlineStr">
        <is>
          <t>Main branch</t>
        </is>
      </c>
      <c r="H79" s="16">
        <f>IF($A79="","",$E79-SUMIFS('Movements'!$F$3:$F$1002,'Movements'!$B$3:$B$1002,$A79,'Movements'!$D$3:$D$1002,$C79,'Movements'!$E$3:$E$1002,"Out")-SUMIFS('Movements'!$F$3:$F$1002,'Movements'!$B$3:$B$1002,$A79,'Movements'!$D$3:$D$1002,$C79,'Movements'!$E$3:$E$1002,"Waste")+SUMIFS('Movements'!$F$3:$F$1002,'Movements'!$B$3:$B$1002,$A79,'Movements'!$D$3:$D$1002,$C79,'Movements'!$E$3:$E$1002,"In"))</f>
        <v/>
      </c>
      <c r="I79" s="16">
        <f>IF(OR($A79="",$D79=""),"",$D79-'Settings'!$B$6)</f>
        <v/>
      </c>
      <c r="J79" s="8">
        <f>IF(OR($A79="",$D79=""),"",IF($H79&gt;0,$D79+ROW()/100000,""))</f>
        <v/>
      </c>
    </row>
    <row r="80">
      <c r="A80" s="4" t="inlineStr">
        <is>
          <t>INV-028</t>
        </is>
      </c>
      <c r="B80" s="8">
        <f>IF($A80="","",IFERROR(INDEX('Items'!$B$3:$B$202,MATCH($A80,'Items'!$A$3:$A$202,0)),""))</f>
        <v/>
      </c>
      <c r="C80" s="4" t="inlineStr">
        <is>
          <t>L8669</t>
        </is>
      </c>
      <c r="D80" s="5" t="n">
        <v>46658</v>
      </c>
      <c r="E80" s="6" t="n">
        <v>3</v>
      </c>
      <c r="F80" s="5" t="n">
        <v>46222</v>
      </c>
      <c r="G80" s="4" t="inlineStr">
        <is>
          <t>Main branch</t>
        </is>
      </c>
      <c r="H80" s="16">
        <f>IF($A80="","",$E80-SUMIFS('Movements'!$F$3:$F$1002,'Movements'!$B$3:$B$1002,$A80,'Movements'!$D$3:$D$1002,$C80,'Movements'!$E$3:$E$1002,"Out")-SUMIFS('Movements'!$F$3:$F$1002,'Movements'!$B$3:$B$1002,$A80,'Movements'!$D$3:$D$1002,$C80,'Movements'!$E$3:$E$1002,"Waste")+SUMIFS('Movements'!$F$3:$F$1002,'Movements'!$B$3:$B$1002,$A80,'Movements'!$D$3:$D$1002,$C80,'Movements'!$E$3:$E$1002,"In"))</f>
        <v/>
      </c>
      <c r="I80" s="16">
        <f>IF(OR($A80="",$D80=""),"",$D80-'Settings'!$B$6)</f>
        <v/>
      </c>
      <c r="J80" s="8">
        <f>IF(OR($A80="",$D80=""),"",IF($H80&gt;0,$D80+ROW()/100000,""))</f>
        <v/>
      </c>
    </row>
    <row r="81">
      <c r="A81" s="4" t="inlineStr">
        <is>
          <t>INV-029</t>
        </is>
      </c>
      <c r="B81" s="8">
        <f>IF($A81="","",IFERROR(INDEX('Items'!$B$3:$B$202,MATCH($A81,'Items'!$A$3:$A$202,0)),""))</f>
        <v/>
      </c>
      <c r="C81" s="4" t="inlineStr">
        <is>
          <t>L8713</t>
        </is>
      </c>
      <c r="D81" s="5" t="n">
        <v>46658</v>
      </c>
      <c r="E81" s="6" t="n">
        <v>4</v>
      </c>
      <c r="F81" s="5" t="n">
        <v>46228</v>
      </c>
      <c r="G81" s="4" t="inlineStr">
        <is>
          <t>Main branch</t>
        </is>
      </c>
      <c r="H81" s="16">
        <f>IF($A81="","",$E81-SUMIFS('Movements'!$F$3:$F$1002,'Movements'!$B$3:$B$1002,$A81,'Movements'!$D$3:$D$1002,$C81,'Movements'!$E$3:$E$1002,"Out")-SUMIFS('Movements'!$F$3:$F$1002,'Movements'!$B$3:$B$1002,$A81,'Movements'!$D$3:$D$1002,$C81,'Movements'!$E$3:$E$1002,"Waste")+SUMIFS('Movements'!$F$3:$F$1002,'Movements'!$B$3:$B$1002,$A81,'Movements'!$D$3:$D$1002,$C81,'Movements'!$E$3:$E$1002,"In"))</f>
        <v/>
      </c>
      <c r="I81" s="16">
        <f>IF(OR($A81="",$D81=""),"",$D81-'Settings'!$B$6)</f>
        <v/>
      </c>
      <c r="J81" s="8">
        <f>IF(OR($A81="",$D81=""),"",IF($H81&gt;0,$D81+ROW()/100000,""))</f>
        <v/>
      </c>
    </row>
    <row r="82">
      <c r="A82" s="4" t="inlineStr">
        <is>
          <t>INV-029</t>
        </is>
      </c>
      <c r="B82" s="8">
        <f>IF($A82="","",IFERROR(INDEX('Items'!$B$3:$B$202,MATCH($A82,'Items'!$A$3:$A$202,0)),""))</f>
        <v/>
      </c>
      <c r="C82" s="4" t="inlineStr">
        <is>
          <t>L8800</t>
        </is>
      </c>
      <c r="D82" s="5" t="n">
        <v>46719</v>
      </c>
      <c r="E82" s="6" t="n">
        <v>8</v>
      </c>
      <c r="F82" s="5" t="n">
        <v>46247</v>
      </c>
      <c r="G82" s="4" t="inlineStr">
        <is>
          <t>Main branch</t>
        </is>
      </c>
      <c r="H82" s="16">
        <f>IF($A82="","",$E82-SUMIFS('Movements'!$F$3:$F$1002,'Movements'!$B$3:$B$1002,$A82,'Movements'!$D$3:$D$1002,$C82,'Movements'!$E$3:$E$1002,"Out")-SUMIFS('Movements'!$F$3:$F$1002,'Movements'!$B$3:$B$1002,$A82,'Movements'!$D$3:$D$1002,$C82,'Movements'!$E$3:$E$1002,"Waste")+SUMIFS('Movements'!$F$3:$F$1002,'Movements'!$B$3:$B$1002,$A82,'Movements'!$D$3:$D$1002,$C82,'Movements'!$E$3:$E$1002,"In"))</f>
        <v/>
      </c>
      <c r="I82" s="16">
        <f>IF(OR($A82="",$D82=""),"",$D82-'Settings'!$B$6)</f>
        <v/>
      </c>
      <c r="J82" s="8">
        <f>IF(OR($A82="",$D82=""),"",IF($H82&gt;0,$D82+ROW()/100000,""))</f>
        <v/>
      </c>
    </row>
    <row r="83">
      <c r="A83" s="4" t="inlineStr">
        <is>
          <t>INV-029</t>
        </is>
      </c>
      <c r="B83" s="8">
        <f>IF($A83="","",IFERROR(INDEX('Items'!$B$3:$B$202,MATCH($A83,'Items'!$A$3:$A$202,0)),""))</f>
        <v/>
      </c>
      <c r="C83" s="4" t="inlineStr">
        <is>
          <t>L8866</t>
        </is>
      </c>
      <c r="D83" s="5" t="n">
        <v>46780</v>
      </c>
      <c r="E83" s="6" t="n">
        <v>25</v>
      </c>
      <c r="F83" s="5" t="n">
        <v>46278</v>
      </c>
      <c r="G83" s="4" t="inlineStr">
        <is>
          <t>Main branch</t>
        </is>
      </c>
      <c r="H83" s="16">
        <f>IF($A83="","",$E83-SUMIFS('Movements'!$F$3:$F$1002,'Movements'!$B$3:$B$1002,$A83,'Movements'!$D$3:$D$1002,$C83,'Movements'!$E$3:$E$1002,"Out")-SUMIFS('Movements'!$F$3:$F$1002,'Movements'!$B$3:$B$1002,$A83,'Movements'!$D$3:$D$1002,$C83,'Movements'!$E$3:$E$1002,"Waste")+SUMIFS('Movements'!$F$3:$F$1002,'Movements'!$B$3:$B$1002,$A83,'Movements'!$D$3:$D$1002,$C83,'Movements'!$E$3:$E$1002,"In"))</f>
        <v/>
      </c>
      <c r="I83" s="16">
        <f>IF(OR($A83="",$D83=""),"",$D83-'Settings'!$B$6)</f>
        <v/>
      </c>
      <c r="J83" s="8">
        <f>IF(OR($A83="",$D83=""),"",IF($H83&gt;0,$D83+ROW()/100000,""))</f>
        <v/>
      </c>
    </row>
    <row r="84">
      <c r="A84" s="4" t="inlineStr">
        <is>
          <t>INV-030</t>
        </is>
      </c>
      <c r="B84" s="8">
        <f>IF($A84="","",IFERROR(INDEX('Items'!$B$3:$B$202,MATCH($A84,'Items'!$A$3:$A$202,0)),""))</f>
        <v/>
      </c>
      <c r="C84" s="4" t="inlineStr">
        <is>
          <t>L8911</t>
        </is>
      </c>
      <c r="D84" s="5" t="n"/>
      <c r="E84" s="6" t="n">
        <v>3</v>
      </c>
      <c r="F84" s="5" t="n">
        <v>46225</v>
      </c>
      <c r="G84" s="4" t="inlineStr">
        <is>
          <t>Main branch</t>
        </is>
      </c>
      <c r="H84" s="16">
        <f>IF($A84="","",$E84-SUMIFS('Movements'!$F$3:$F$1002,'Movements'!$B$3:$B$1002,$A84,'Movements'!$D$3:$D$1002,$C84,'Movements'!$E$3:$E$1002,"Out")-SUMIFS('Movements'!$F$3:$F$1002,'Movements'!$B$3:$B$1002,$A84,'Movements'!$D$3:$D$1002,$C84,'Movements'!$E$3:$E$1002,"Waste")+SUMIFS('Movements'!$F$3:$F$1002,'Movements'!$B$3:$B$1002,$A84,'Movements'!$D$3:$D$1002,$C84,'Movements'!$E$3:$E$1002,"In"))</f>
        <v/>
      </c>
      <c r="I84" s="16">
        <f>IF(OR($A84="",$D84=""),"",$D84-'Settings'!$B$6)</f>
        <v/>
      </c>
      <c r="J84" s="8">
        <f>IF(OR($A84="",$D84=""),"",IF($H84&gt;0,$D84+ROW()/100000,""))</f>
        <v/>
      </c>
    </row>
    <row r="85">
      <c r="A85" s="4" t="inlineStr">
        <is>
          <t>INV-031</t>
        </is>
      </c>
      <c r="B85" s="8">
        <f>IF($A85="","",IFERROR(INDEX('Items'!$B$3:$B$202,MATCH($A85,'Items'!$A$3:$A$202,0)),""))</f>
        <v/>
      </c>
      <c r="C85" s="4" t="inlineStr">
        <is>
          <t>L8932</t>
        </is>
      </c>
      <c r="D85" s="5" t="n"/>
      <c r="E85" s="6" t="n">
        <v>2</v>
      </c>
      <c r="F85" s="5" t="n">
        <v>46222</v>
      </c>
      <c r="G85" s="4" t="inlineStr">
        <is>
          <t>Main branch</t>
        </is>
      </c>
      <c r="H85" s="16">
        <f>IF($A85="","",$E85-SUMIFS('Movements'!$F$3:$F$1002,'Movements'!$B$3:$B$1002,$A85,'Movements'!$D$3:$D$1002,$C85,'Movements'!$E$3:$E$1002,"Out")-SUMIFS('Movements'!$F$3:$F$1002,'Movements'!$B$3:$B$1002,$A85,'Movements'!$D$3:$D$1002,$C85,'Movements'!$E$3:$E$1002,"Waste")+SUMIFS('Movements'!$F$3:$F$1002,'Movements'!$B$3:$B$1002,$A85,'Movements'!$D$3:$D$1002,$C85,'Movements'!$E$3:$E$1002,"In"))</f>
        <v/>
      </c>
      <c r="I85" s="16">
        <f>IF(OR($A85="",$D85=""),"",$D85-'Settings'!$B$6)</f>
        <v/>
      </c>
      <c r="J85" s="8">
        <f>IF(OR($A85="",$D85=""),"",IF($H85&gt;0,$D85+ROW()/100000,""))</f>
        <v/>
      </c>
    </row>
    <row r="86">
      <c r="A86" s="4" t="inlineStr">
        <is>
          <t>INV-032</t>
        </is>
      </c>
      <c r="B86" s="8">
        <f>IF($A86="","",IFERROR(INDEX('Items'!$B$3:$B$202,MATCH($A86,'Items'!$A$3:$A$202,0)),""))</f>
        <v/>
      </c>
      <c r="C86" s="4" t="inlineStr">
        <is>
          <t>L8947</t>
        </is>
      </c>
      <c r="D86" s="5" t="n"/>
      <c r="E86" s="6" t="n">
        <v>2</v>
      </c>
      <c r="F86" s="5" t="n">
        <v>46222</v>
      </c>
      <c r="G86" s="4" t="inlineStr">
        <is>
          <t>Main branch</t>
        </is>
      </c>
      <c r="H86" s="16">
        <f>IF($A86="","",$E86-SUMIFS('Movements'!$F$3:$F$1002,'Movements'!$B$3:$B$1002,$A86,'Movements'!$D$3:$D$1002,$C86,'Movements'!$E$3:$E$1002,"Out")-SUMIFS('Movements'!$F$3:$F$1002,'Movements'!$B$3:$B$1002,$A86,'Movements'!$D$3:$D$1002,$C86,'Movements'!$E$3:$E$1002,"Waste")+SUMIFS('Movements'!$F$3:$F$1002,'Movements'!$B$3:$B$1002,$A86,'Movements'!$D$3:$D$1002,$C86,'Movements'!$E$3:$E$1002,"In"))</f>
        <v/>
      </c>
      <c r="I86" s="16">
        <f>IF(OR($A86="",$D86=""),"",$D86-'Settings'!$B$6)</f>
        <v/>
      </c>
      <c r="J86" s="8">
        <f>IF(OR($A86="",$D86=""),"",IF($H86&gt;0,$D86+ROW()/100000,""))</f>
        <v/>
      </c>
    </row>
    <row r="87">
      <c r="A87" s="4" t="inlineStr">
        <is>
          <t>INV-033</t>
        </is>
      </c>
      <c r="B87" s="8">
        <f>IF($A87="","",IFERROR(INDEX('Items'!$B$3:$B$202,MATCH($A87,'Items'!$A$3:$A$202,0)),""))</f>
        <v/>
      </c>
      <c r="C87" s="4" t="inlineStr">
        <is>
          <t>L9024</t>
        </is>
      </c>
      <c r="D87" s="5" t="n"/>
      <c r="E87" s="6" t="n">
        <v>6</v>
      </c>
      <c r="F87" s="5" t="n">
        <v>46222</v>
      </c>
      <c r="G87" s="4" t="inlineStr">
        <is>
          <t>Main branch</t>
        </is>
      </c>
      <c r="H87" s="16">
        <f>IF($A87="","",$E87-SUMIFS('Movements'!$F$3:$F$1002,'Movements'!$B$3:$B$1002,$A87,'Movements'!$D$3:$D$1002,$C87,'Movements'!$E$3:$E$1002,"Out")-SUMIFS('Movements'!$F$3:$F$1002,'Movements'!$B$3:$B$1002,$A87,'Movements'!$D$3:$D$1002,$C87,'Movements'!$E$3:$E$1002,"Waste")+SUMIFS('Movements'!$F$3:$F$1002,'Movements'!$B$3:$B$1002,$A87,'Movements'!$D$3:$D$1002,$C87,'Movements'!$E$3:$E$1002,"In"))</f>
        <v/>
      </c>
      <c r="I87" s="16">
        <f>IF(OR($A87="",$D87=""),"",$D87-'Settings'!$B$6)</f>
        <v/>
      </c>
      <c r="J87" s="8">
        <f>IF(OR($A87="",$D87=""),"",IF($H87&gt;0,$D87+ROW()/100000,""))</f>
        <v/>
      </c>
    </row>
    <row r="88">
      <c r="A88" s="4" t="inlineStr">
        <is>
          <t>INV-033</t>
        </is>
      </c>
      <c r="B88" s="8">
        <f>IF($A88="","",IFERROR(INDEX('Items'!$B$3:$B$202,MATCH($A88,'Items'!$A$3:$A$202,0)),""))</f>
        <v/>
      </c>
      <c r="C88" s="4" t="inlineStr">
        <is>
          <t>L9098</t>
        </is>
      </c>
      <c r="D88" s="5" t="n"/>
      <c r="E88" s="6" t="n">
        <v>6</v>
      </c>
      <c r="F88" s="5" t="n">
        <v>46254</v>
      </c>
      <c r="G88" s="4" t="inlineStr">
        <is>
          <t>Main branch</t>
        </is>
      </c>
      <c r="H88" s="16">
        <f>IF($A88="","",$E88-SUMIFS('Movements'!$F$3:$F$1002,'Movements'!$B$3:$B$1002,$A88,'Movements'!$D$3:$D$1002,$C88,'Movements'!$E$3:$E$1002,"Out")-SUMIFS('Movements'!$F$3:$F$1002,'Movements'!$B$3:$B$1002,$A88,'Movements'!$D$3:$D$1002,$C88,'Movements'!$E$3:$E$1002,"Waste")+SUMIFS('Movements'!$F$3:$F$1002,'Movements'!$B$3:$B$1002,$A88,'Movements'!$D$3:$D$1002,$C88,'Movements'!$E$3:$E$1002,"In"))</f>
        <v/>
      </c>
      <c r="I88" s="16">
        <f>IF(OR($A88="",$D88=""),"",$D88-'Settings'!$B$6)</f>
        <v/>
      </c>
      <c r="J88" s="8">
        <f>IF(OR($A88="",$D88=""),"",IF($H88&gt;0,$D88+ROW()/100000,""))</f>
        <v/>
      </c>
    </row>
    <row r="89">
      <c r="A89" s="4" t="inlineStr">
        <is>
          <t>INV-033</t>
        </is>
      </c>
      <c r="B89" s="8">
        <f>IF($A89="","",IFERROR(INDEX('Items'!$B$3:$B$202,MATCH($A89,'Items'!$A$3:$A$202,0)),""))</f>
        <v/>
      </c>
      <c r="C89" s="4" t="inlineStr">
        <is>
          <t>L9186</t>
        </is>
      </c>
      <c r="D89" s="5" t="n"/>
      <c r="E89" s="6" t="n">
        <v>16</v>
      </c>
      <c r="F89" s="5" t="n">
        <v>46278</v>
      </c>
      <c r="G89" s="4" t="inlineStr">
        <is>
          <t>Main branch</t>
        </is>
      </c>
      <c r="H89" s="16">
        <f>IF($A89="","",$E89-SUMIFS('Movements'!$F$3:$F$1002,'Movements'!$B$3:$B$1002,$A89,'Movements'!$D$3:$D$1002,$C89,'Movements'!$E$3:$E$1002,"Out")-SUMIFS('Movements'!$F$3:$F$1002,'Movements'!$B$3:$B$1002,$A89,'Movements'!$D$3:$D$1002,$C89,'Movements'!$E$3:$E$1002,"Waste")+SUMIFS('Movements'!$F$3:$F$1002,'Movements'!$B$3:$B$1002,$A89,'Movements'!$D$3:$D$1002,$C89,'Movements'!$E$3:$E$1002,"In"))</f>
        <v/>
      </c>
      <c r="I89" s="16">
        <f>IF(OR($A89="",$D89=""),"",$D89-'Settings'!$B$6)</f>
        <v/>
      </c>
      <c r="J89" s="8">
        <f>IF(OR($A89="",$D89=""),"",IF($H89&gt;0,$D89+ROW()/100000,""))</f>
        <v/>
      </c>
    </row>
    <row r="90">
      <c r="A90" s="4" t="inlineStr">
        <is>
          <t>INV-034</t>
        </is>
      </c>
      <c r="B90" s="8">
        <f>IF($A90="","",IFERROR(INDEX('Items'!$B$3:$B$202,MATCH($A90,'Items'!$A$3:$A$202,0)),""))</f>
        <v/>
      </c>
      <c r="C90" s="4" t="inlineStr">
        <is>
          <t>L9240</t>
        </is>
      </c>
      <c r="D90" s="5" t="n"/>
      <c r="E90" s="6" t="n">
        <v>9</v>
      </c>
      <c r="F90" s="5" t="n">
        <v>46229</v>
      </c>
      <c r="G90" s="4" t="inlineStr">
        <is>
          <t>Main branch</t>
        </is>
      </c>
      <c r="H90" s="16">
        <f>IF($A90="","",$E90-SUMIFS('Movements'!$F$3:$F$1002,'Movements'!$B$3:$B$1002,$A90,'Movements'!$D$3:$D$1002,$C90,'Movements'!$E$3:$E$1002,"Out")-SUMIFS('Movements'!$F$3:$F$1002,'Movements'!$B$3:$B$1002,$A90,'Movements'!$D$3:$D$1002,$C90,'Movements'!$E$3:$E$1002,"Waste")+SUMIFS('Movements'!$F$3:$F$1002,'Movements'!$B$3:$B$1002,$A90,'Movements'!$D$3:$D$1002,$C90,'Movements'!$E$3:$E$1002,"In"))</f>
        <v/>
      </c>
      <c r="I90" s="16">
        <f>IF(OR($A90="",$D90=""),"",$D90-'Settings'!$B$6)</f>
        <v/>
      </c>
      <c r="J90" s="8">
        <f>IF(OR($A90="",$D90=""),"",IF($H90&gt;0,$D90+ROW()/100000,""))</f>
        <v/>
      </c>
    </row>
    <row r="91">
      <c r="A91" s="4" t="inlineStr">
        <is>
          <t>INV-035</t>
        </is>
      </c>
      <c r="B91" s="8">
        <f>IF($A91="","",IFERROR(INDEX('Items'!$B$3:$B$202,MATCH($A91,'Items'!$A$3:$A$202,0)),""))</f>
        <v/>
      </c>
      <c r="C91" s="4" t="inlineStr">
        <is>
          <t>L9322</t>
        </is>
      </c>
      <c r="D91" s="5" t="n"/>
      <c r="E91" s="6" t="n">
        <v>2</v>
      </c>
      <c r="F91" s="5" t="n">
        <v>46230</v>
      </c>
      <c r="G91" s="4" t="inlineStr">
        <is>
          <t>Main branch</t>
        </is>
      </c>
      <c r="H91" s="16">
        <f>IF($A91="","",$E91-SUMIFS('Movements'!$F$3:$F$1002,'Movements'!$B$3:$B$1002,$A91,'Movements'!$D$3:$D$1002,$C91,'Movements'!$E$3:$E$1002,"Out")-SUMIFS('Movements'!$F$3:$F$1002,'Movements'!$B$3:$B$1002,$A91,'Movements'!$D$3:$D$1002,$C91,'Movements'!$E$3:$E$1002,"Waste")+SUMIFS('Movements'!$F$3:$F$1002,'Movements'!$B$3:$B$1002,$A91,'Movements'!$D$3:$D$1002,$C91,'Movements'!$E$3:$E$1002,"In"))</f>
        <v/>
      </c>
      <c r="I91" s="16">
        <f>IF(OR($A91="",$D91=""),"",$D91-'Settings'!$B$6)</f>
        <v/>
      </c>
      <c r="J91" s="8">
        <f>IF(OR($A91="",$D91=""),"",IF($H91&gt;0,$D91+ROW()/100000,""))</f>
        <v/>
      </c>
    </row>
    <row r="92">
      <c r="A92" s="4" t="inlineStr">
        <is>
          <t>INV-036</t>
        </is>
      </c>
      <c r="B92" s="8">
        <f>IF($A92="","",IFERROR(INDEX('Items'!$B$3:$B$202,MATCH($A92,'Items'!$A$3:$A$202,0)),""))</f>
        <v/>
      </c>
      <c r="C92" s="4" t="inlineStr">
        <is>
          <t>L9411</t>
        </is>
      </c>
      <c r="D92" s="5" t="n"/>
      <c r="E92" s="6" t="n">
        <v>1</v>
      </c>
      <c r="F92" s="5" t="n">
        <v>46232</v>
      </c>
      <c r="G92" s="4" t="inlineStr">
        <is>
          <t>Main branch</t>
        </is>
      </c>
      <c r="H92" s="16">
        <f>IF($A92="","",$E92-SUMIFS('Movements'!$F$3:$F$1002,'Movements'!$B$3:$B$1002,$A92,'Movements'!$D$3:$D$1002,$C92,'Movements'!$E$3:$E$1002,"Out")-SUMIFS('Movements'!$F$3:$F$1002,'Movements'!$B$3:$B$1002,$A92,'Movements'!$D$3:$D$1002,$C92,'Movements'!$E$3:$E$1002,"Waste")+SUMIFS('Movements'!$F$3:$F$1002,'Movements'!$B$3:$B$1002,$A92,'Movements'!$D$3:$D$1002,$C92,'Movements'!$E$3:$E$1002,"In"))</f>
        <v/>
      </c>
      <c r="I92" s="16">
        <f>IF(OR($A92="",$D92=""),"",$D92-'Settings'!$B$6)</f>
        <v/>
      </c>
      <c r="J92" s="8">
        <f>IF(OR($A92="",$D92=""),"",IF($H92&gt;0,$D92+ROW()/100000,""))</f>
        <v/>
      </c>
    </row>
    <row r="93">
      <c r="A93" s="4" t="inlineStr">
        <is>
          <t>INV-036</t>
        </is>
      </c>
      <c r="B93" s="8">
        <f>IF($A93="","",IFERROR(INDEX('Items'!$B$3:$B$202,MATCH($A93,'Items'!$A$3:$A$202,0)),""))</f>
        <v/>
      </c>
      <c r="C93" s="4" t="inlineStr">
        <is>
          <t>L9419</t>
        </is>
      </c>
      <c r="D93" s="5" t="n"/>
      <c r="E93" s="6" t="n">
        <v>5</v>
      </c>
      <c r="F93" s="5" t="n">
        <v>46246</v>
      </c>
      <c r="G93" s="4" t="inlineStr">
        <is>
          <t>Main branch</t>
        </is>
      </c>
      <c r="H93" s="16">
        <f>IF($A93="","",$E93-SUMIFS('Movements'!$F$3:$F$1002,'Movements'!$B$3:$B$1002,$A93,'Movements'!$D$3:$D$1002,$C93,'Movements'!$E$3:$E$1002,"Out")-SUMIFS('Movements'!$F$3:$F$1002,'Movements'!$B$3:$B$1002,$A93,'Movements'!$D$3:$D$1002,$C93,'Movements'!$E$3:$E$1002,"Waste")+SUMIFS('Movements'!$F$3:$F$1002,'Movements'!$B$3:$B$1002,$A93,'Movements'!$D$3:$D$1002,$C93,'Movements'!$E$3:$E$1002,"In"))</f>
        <v/>
      </c>
      <c r="I93" s="16">
        <f>IF(OR($A93="",$D93=""),"",$D93-'Settings'!$B$6)</f>
        <v/>
      </c>
      <c r="J93" s="8">
        <f>IF(OR($A93="",$D93=""),"",IF($H93&gt;0,$D93+ROW()/100000,""))</f>
        <v/>
      </c>
    </row>
    <row r="94">
      <c r="A94" s="4" t="inlineStr">
        <is>
          <t>INV-036</t>
        </is>
      </c>
      <c r="B94" s="8">
        <f>IF($A94="","",IFERROR(INDEX('Items'!$B$3:$B$202,MATCH($A94,'Items'!$A$3:$A$202,0)),""))</f>
        <v/>
      </c>
      <c r="C94" s="4" t="inlineStr">
        <is>
          <t>L9450</t>
        </is>
      </c>
      <c r="D94" s="5" t="n"/>
      <c r="E94" s="6" t="n">
        <v>8</v>
      </c>
      <c r="F94" s="5" t="n">
        <v>46274</v>
      </c>
      <c r="G94" s="4" t="inlineStr">
        <is>
          <t>Main branch</t>
        </is>
      </c>
      <c r="H94" s="16">
        <f>IF($A94="","",$E94-SUMIFS('Movements'!$F$3:$F$1002,'Movements'!$B$3:$B$1002,$A94,'Movements'!$D$3:$D$1002,$C94,'Movements'!$E$3:$E$1002,"Out")-SUMIFS('Movements'!$F$3:$F$1002,'Movements'!$B$3:$B$1002,$A94,'Movements'!$D$3:$D$1002,$C94,'Movements'!$E$3:$E$1002,"Waste")+SUMIFS('Movements'!$F$3:$F$1002,'Movements'!$B$3:$B$1002,$A94,'Movements'!$D$3:$D$1002,$C94,'Movements'!$E$3:$E$1002,"In"))</f>
        <v/>
      </c>
      <c r="I94" s="16">
        <f>IF(OR($A94="",$D94=""),"",$D94-'Settings'!$B$6)</f>
        <v/>
      </c>
      <c r="J94" s="8">
        <f>IF(OR($A94="",$D94=""),"",IF($H94&gt;0,$D94+ROW()/100000,""))</f>
        <v/>
      </c>
    </row>
    <row r="95">
      <c r="A95" s="4" t="inlineStr">
        <is>
          <t>INV-037</t>
        </is>
      </c>
      <c r="B95" s="8">
        <f>IF($A95="","",IFERROR(INDEX('Items'!$B$3:$B$202,MATCH($A95,'Items'!$A$3:$A$202,0)),""))</f>
        <v/>
      </c>
      <c r="C95" s="4" t="inlineStr">
        <is>
          <t>L9534</t>
        </is>
      </c>
      <c r="D95" s="5" t="n"/>
      <c r="E95" s="6" t="n">
        <v>7</v>
      </c>
      <c r="F95" s="5" t="n">
        <v>46222</v>
      </c>
      <c r="G95" s="4" t="inlineStr">
        <is>
          <t>Main branch</t>
        </is>
      </c>
      <c r="H95" s="16">
        <f>IF($A95="","",$E95-SUMIFS('Movements'!$F$3:$F$1002,'Movements'!$B$3:$B$1002,$A95,'Movements'!$D$3:$D$1002,$C95,'Movements'!$E$3:$E$1002,"Out")-SUMIFS('Movements'!$F$3:$F$1002,'Movements'!$B$3:$B$1002,$A95,'Movements'!$D$3:$D$1002,$C95,'Movements'!$E$3:$E$1002,"Waste")+SUMIFS('Movements'!$F$3:$F$1002,'Movements'!$B$3:$B$1002,$A95,'Movements'!$D$3:$D$1002,$C95,'Movements'!$E$3:$E$1002,"In"))</f>
        <v/>
      </c>
      <c r="I95" s="16">
        <f>IF(OR($A95="",$D95=""),"",$D95-'Settings'!$B$6)</f>
        <v/>
      </c>
      <c r="J95" s="8">
        <f>IF(OR($A95="",$D95=""),"",IF($H95&gt;0,$D95+ROW()/100000,""))</f>
        <v/>
      </c>
    </row>
    <row r="96">
      <c r="A96" s="4" t="inlineStr">
        <is>
          <t>INV-037</t>
        </is>
      </c>
      <c r="B96" s="8">
        <f>IF($A96="","",IFERROR(INDEX('Items'!$B$3:$B$202,MATCH($A96,'Items'!$A$3:$A$202,0)),""))</f>
        <v/>
      </c>
      <c r="C96" s="4" t="inlineStr">
        <is>
          <t>L9576</t>
        </is>
      </c>
      <c r="D96" s="5" t="n"/>
      <c r="E96" s="6" t="n">
        <v>21</v>
      </c>
      <c r="F96" s="5" t="n">
        <v>46248</v>
      </c>
      <c r="G96" s="4" t="inlineStr">
        <is>
          <t>Main branch</t>
        </is>
      </c>
      <c r="H96" s="16">
        <f>IF($A96="","",$E96-SUMIFS('Movements'!$F$3:$F$1002,'Movements'!$B$3:$B$1002,$A96,'Movements'!$D$3:$D$1002,$C96,'Movements'!$E$3:$E$1002,"Out")-SUMIFS('Movements'!$F$3:$F$1002,'Movements'!$B$3:$B$1002,$A96,'Movements'!$D$3:$D$1002,$C96,'Movements'!$E$3:$E$1002,"Waste")+SUMIFS('Movements'!$F$3:$F$1002,'Movements'!$B$3:$B$1002,$A96,'Movements'!$D$3:$D$1002,$C96,'Movements'!$E$3:$E$1002,"In"))</f>
        <v/>
      </c>
      <c r="I96" s="16">
        <f>IF(OR($A96="",$D96=""),"",$D96-'Settings'!$B$6)</f>
        <v/>
      </c>
      <c r="J96" s="8">
        <f>IF(OR($A96="",$D96=""),"",IF($H96&gt;0,$D96+ROW()/100000,""))</f>
        <v/>
      </c>
    </row>
    <row r="97">
      <c r="A97" s="4" t="inlineStr">
        <is>
          <t>INV-037</t>
        </is>
      </c>
      <c r="B97" s="8">
        <f>IF($A97="","",IFERROR(INDEX('Items'!$B$3:$B$202,MATCH($A97,'Items'!$A$3:$A$202,0)),""))</f>
        <v/>
      </c>
      <c r="C97" s="4" t="inlineStr">
        <is>
          <t>L9620</t>
        </is>
      </c>
      <c r="D97" s="5" t="n"/>
      <c r="E97" s="6" t="n">
        <v>7</v>
      </c>
      <c r="F97" s="5" t="n">
        <v>46279</v>
      </c>
      <c r="G97" s="4" t="inlineStr">
        <is>
          <t>Main branch</t>
        </is>
      </c>
      <c r="H97" s="16">
        <f>IF($A97="","",$E97-SUMIFS('Movements'!$F$3:$F$1002,'Movements'!$B$3:$B$1002,$A97,'Movements'!$D$3:$D$1002,$C97,'Movements'!$E$3:$E$1002,"Out")-SUMIFS('Movements'!$F$3:$F$1002,'Movements'!$B$3:$B$1002,$A97,'Movements'!$D$3:$D$1002,$C97,'Movements'!$E$3:$E$1002,"Waste")+SUMIFS('Movements'!$F$3:$F$1002,'Movements'!$B$3:$B$1002,$A97,'Movements'!$D$3:$D$1002,$C97,'Movements'!$E$3:$E$1002,"In"))</f>
        <v/>
      </c>
      <c r="I97" s="16">
        <f>IF(OR($A97="",$D97=""),"",$D97-'Settings'!$B$6)</f>
        <v/>
      </c>
      <c r="J97" s="8">
        <f>IF(OR($A97="",$D97=""),"",IF($H97&gt;0,$D97+ROW()/100000,""))</f>
        <v/>
      </c>
    </row>
    <row r="98">
      <c r="A98" s="4" t="inlineStr">
        <is>
          <t>INV-038</t>
        </is>
      </c>
      <c r="B98" s="8">
        <f>IF($A98="","",IFERROR(INDEX('Items'!$B$3:$B$202,MATCH($A98,'Items'!$A$3:$A$202,0)),""))</f>
        <v/>
      </c>
      <c r="C98" s="4" t="inlineStr">
        <is>
          <t>L9661</t>
        </is>
      </c>
      <c r="D98" s="5" t="n"/>
      <c r="E98" s="6" t="n">
        <v>8</v>
      </c>
      <c r="F98" s="5" t="n">
        <v>46226</v>
      </c>
      <c r="G98" s="4" t="inlineStr">
        <is>
          <t>Main branch</t>
        </is>
      </c>
      <c r="H98" s="16">
        <f>IF($A98="","",$E98-SUMIFS('Movements'!$F$3:$F$1002,'Movements'!$B$3:$B$1002,$A98,'Movements'!$D$3:$D$1002,$C98,'Movements'!$E$3:$E$1002,"Out")-SUMIFS('Movements'!$F$3:$F$1002,'Movements'!$B$3:$B$1002,$A98,'Movements'!$D$3:$D$1002,$C98,'Movements'!$E$3:$E$1002,"Waste")+SUMIFS('Movements'!$F$3:$F$1002,'Movements'!$B$3:$B$1002,$A98,'Movements'!$D$3:$D$1002,$C98,'Movements'!$E$3:$E$1002,"In"))</f>
        <v/>
      </c>
      <c r="I98" s="16">
        <f>IF(OR($A98="",$D98=""),"",$D98-'Settings'!$B$6)</f>
        <v/>
      </c>
      <c r="J98" s="8">
        <f>IF(OR($A98="",$D98=""),"",IF($H98&gt;0,$D98+ROW()/100000,""))</f>
        <v/>
      </c>
    </row>
    <row r="99">
      <c r="A99" s="4" t="inlineStr">
        <is>
          <t>INV-038</t>
        </is>
      </c>
      <c r="B99" s="8">
        <f>IF($A99="","",IFERROR(INDEX('Items'!$B$3:$B$202,MATCH($A99,'Items'!$A$3:$A$202,0)),""))</f>
        <v/>
      </c>
      <c r="C99" s="4" t="inlineStr">
        <is>
          <t>L9742</t>
        </is>
      </c>
      <c r="D99" s="5" t="n"/>
      <c r="E99" s="6" t="n">
        <v>27</v>
      </c>
      <c r="F99" s="5" t="n">
        <v>46246</v>
      </c>
      <c r="G99" s="4" t="inlineStr">
        <is>
          <t>Main branch</t>
        </is>
      </c>
      <c r="H99" s="16">
        <f>IF($A99="","",$E99-SUMIFS('Movements'!$F$3:$F$1002,'Movements'!$B$3:$B$1002,$A99,'Movements'!$D$3:$D$1002,$C99,'Movements'!$E$3:$E$1002,"Out")-SUMIFS('Movements'!$F$3:$F$1002,'Movements'!$B$3:$B$1002,$A99,'Movements'!$D$3:$D$1002,$C99,'Movements'!$E$3:$E$1002,"Waste")+SUMIFS('Movements'!$F$3:$F$1002,'Movements'!$B$3:$B$1002,$A99,'Movements'!$D$3:$D$1002,$C99,'Movements'!$E$3:$E$1002,"In"))</f>
        <v/>
      </c>
      <c r="I99" s="16">
        <f>IF(OR($A99="",$D99=""),"",$D99-'Settings'!$B$6)</f>
        <v/>
      </c>
      <c r="J99" s="8">
        <f>IF(OR($A99="",$D99=""),"",IF($H99&gt;0,$D99+ROW()/100000,""))</f>
        <v/>
      </c>
    </row>
    <row r="100">
      <c r="A100" s="4" t="inlineStr">
        <is>
          <t>INV-038</t>
        </is>
      </c>
      <c r="B100" s="8">
        <f>IF($A100="","",IFERROR(INDEX('Items'!$B$3:$B$202,MATCH($A100,'Items'!$A$3:$A$202,0)),""))</f>
        <v/>
      </c>
      <c r="C100" s="4" t="inlineStr">
        <is>
          <t>L9786</t>
        </is>
      </c>
      <c r="D100" s="5" t="n"/>
      <c r="E100" s="6" t="n">
        <v>20</v>
      </c>
      <c r="F100" s="5" t="n">
        <v>46280</v>
      </c>
      <c r="G100" s="4" t="inlineStr">
        <is>
          <t>Main branch</t>
        </is>
      </c>
      <c r="H100" s="16">
        <f>IF($A100="","",$E100-SUMIFS('Movements'!$F$3:$F$1002,'Movements'!$B$3:$B$1002,$A100,'Movements'!$D$3:$D$1002,$C100,'Movements'!$E$3:$E$1002,"Out")-SUMIFS('Movements'!$F$3:$F$1002,'Movements'!$B$3:$B$1002,$A100,'Movements'!$D$3:$D$1002,$C100,'Movements'!$E$3:$E$1002,"Waste")+SUMIFS('Movements'!$F$3:$F$1002,'Movements'!$B$3:$B$1002,$A100,'Movements'!$D$3:$D$1002,$C100,'Movements'!$E$3:$E$1002,"In"))</f>
        <v/>
      </c>
      <c r="I100" s="16">
        <f>IF(OR($A100="",$D100=""),"",$D100-'Settings'!$B$6)</f>
        <v/>
      </c>
      <c r="J100" s="8">
        <f>IF(OR($A100="",$D100=""),"",IF($H100&gt;0,$D100+ROW()/100000,""))</f>
        <v/>
      </c>
    </row>
    <row r="101">
      <c r="A101" s="4" t="inlineStr">
        <is>
          <t>INV-039</t>
        </is>
      </c>
      <c r="B101" s="8">
        <f>IF($A101="","",IFERROR(INDEX('Items'!$B$3:$B$202,MATCH($A101,'Items'!$A$3:$A$202,0)),""))</f>
        <v/>
      </c>
      <c r="C101" s="4" t="inlineStr">
        <is>
          <t>L9866</t>
        </is>
      </c>
      <c r="D101" s="5" t="n"/>
      <c r="E101" s="6" t="n">
        <v>4</v>
      </c>
      <c r="F101" s="5" t="n">
        <v>46232</v>
      </c>
      <c r="G101" s="4" t="inlineStr">
        <is>
          <t>Main branch</t>
        </is>
      </c>
      <c r="H101" s="16">
        <f>IF($A101="","",$E101-SUMIFS('Movements'!$F$3:$F$1002,'Movements'!$B$3:$B$1002,$A101,'Movements'!$D$3:$D$1002,$C101,'Movements'!$E$3:$E$1002,"Out")-SUMIFS('Movements'!$F$3:$F$1002,'Movements'!$B$3:$B$1002,$A101,'Movements'!$D$3:$D$1002,$C101,'Movements'!$E$3:$E$1002,"Waste")+SUMIFS('Movements'!$F$3:$F$1002,'Movements'!$B$3:$B$1002,$A101,'Movements'!$D$3:$D$1002,$C101,'Movements'!$E$3:$E$1002,"In"))</f>
        <v/>
      </c>
      <c r="I101" s="16">
        <f>IF(OR($A101="",$D101=""),"",$D101-'Settings'!$B$6)</f>
        <v/>
      </c>
      <c r="J101" s="8">
        <f>IF(OR($A101="",$D101=""),"",IF($H101&gt;0,$D101+ROW()/100000,""))</f>
        <v/>
      </c>
    </row>
    <row r="102">
      <c r="A102" s="4" t="inlineStr">
        <is>
          <t>INV-040</t>
        </is>
      </c>
      <c r="B102" s="8">
        <f>IF($A102="","",IFERROR(INDEX('Items'!$B$3:$B$202,MATCH($A102,'Items'!$A$3:$A$202,0)),""))</f>
        <v/>
      </c>
      <c r="C102" s="4" t="inlineStr">
        <is>
          <t>L9915</t>
        </is>
      </c>
      <c r="D102" s="5" t="n"/>
      <c r="E102" s="6" t="n">
        <v>2</v>
      </c>
      <c r="F102" s="5" t="n">
        <v>46228</v>
      </c>
      <c r="G102" s="4" t="inlineStr">
        <is>
          <t>Main branch</t>
        </is>
      </c>
      <c r="H102" s="16">
        <f>IF($A102="","",$E102-SUMIFS('Movements'!$F$3:$F$1002,'Movements'!$B$3:$B$1002,$A102,'Movements'!$D$3:$D$1002,$C102,'Movements'!$E$3:$E$1002,"Out")-SUMIFS('Movements'!$F$3:$F$1002,'Movements'!$B$3:$B$1002,$A102,'Movements'!$D$3:$D$1002,$C102,'Movements'!$E$3:$E$1002,"Waste")+SUMIFS('Movements'!$F$3:$F$1002,'Movements'!$B$3:$B$1002,$A102,'Movements'!$D$3:$D$1002,$C102,'Movements'!$E$3:$E$1002,"In"))</f>
        <v/>
      </c>
      <c r="I102" s="16">
        <f>IF(OR($A102="",$D102=""),"",$D102-'Settings'!$B$6)</f>
        <v/>
      </c>
      <c r="J102" s="8">
        <f>IF(OR($A102="",$D102=""),"",IF($H102&gt;0,$D102+ROW()/100000,""))</f>
        <v/>
      </c>
    </row>
    <row r="103">
      <c r="A103" s="4" t="inlineStr">
        <is>
          <t>INV-040</t>
        </is>
      </c>
      <c r="B103" s="8">
        <f>IF($A103="","",IFERROR(INDEX('Items'!$B$3:$B$202,MATCH($A103,'Items'!$A$3:$A$202,0)),""))</f>
        <v/>
      </c>
      <c r="C103" s="4" t="inlineStr">
        <is>
          <t>L9977</t>
        </is>
      </c>
      <c r="D103" s="5" t="n"/>
      <c r="E103" s="6" t="n">
        <v>5</v>
      </c>
      <c r="F103" s="5" t="n">
        <v>46250</v>
      </c>
      <c r="G103" s="4" t="inlineStr">
        <is>
          <t>Main branch</t>
        </is>
      </c>
      <c r="H103" s="16">
        <f>IF($A103="","",$E103-SUMIFS('Movements'!$F$3:$F$1002,'Movements'!$B$3:$B$1002,$A103,'Movements'!$D$3:$D$1002,$C103,'Movements'!$E$3:$E$1002,"Out")-SUMIFS('Movements'!$F$3:$F$1002,'Movements'!$B$3:$B$1002,$A103,'Movements'!$D$3:$D$1002,$C103,'Movements'!$E$3:$E$1002,"Waste")+SUMIFS('Movements'!$F$3:$F$1002,'Movements'!$B$3:$B$1002,$A103,'Movements'!$D$3:$D$1002,$C103,'Movements'!$E$3:$E$1002,"In"))</f>
        <v/>
      </c>
      <c r="I103" s="16">
        <f>IF(OR($A103="",$D103=""),"",$D103-'Settings'!$B$6)</f>
        <v/>
      </c>
      <c r="J103" s="8">
        <f>IF(OR($A103="",$D103=""),"",IF($H103&gt;0,$D103+ROW()/100000,""))</f>
        <v/>
      </c>
    </row>
    <row r="104">
      <c r="A104" s="4" t="inlineStr">
        <is>
          <t>INV-040</t>
        </is>
      </c>
      <c r="B104" s="8">
        <f>IF($A104="","",IFERROR(INDEX('Items'!$B$3:$B$202,MATCH($A104,'Items'!$A$3:$A$202,0)),""))</f>
        <v/>
      </c>
      <c r="C104" s="4" t="inlineStr">
        <is>
          <t>L10010</t>
        </is>
      </c>
      <c r="D104" s="5" t="n"/>
      <c r="E104" s="6" t="n">
        <v>7</v>
      </c>
      <c r="F104" s="5" t="n">
        <v>46280</v>
      </c>
      <c r="G104" s="4" t="inlineStr">
        <is>
          <t>Main branch</t>
        </is>
      </c>
      <c r="H104" s="16">
        <f>IF($A104="","",$E104-SUMIFS('Movements'!$F$3:$F$1002,'Movements'!$B$3:$B$1002,$A104,'Movements'!$D$3:$D$1002,$C104,'Movements'!$E$3:$E$1002,"Out")-SUMIFS('Movements'!$F$3:$F$1002,'Movements'!$B$3:$B$1002,$A104,'Movements'!$D$3:$D$1002,$C104,'Movements'!$E$3:$E$1002,"Waste")+SUMIFS('Movements'!$F$3:$F$1002,'Movements'!$B$3:$B$1002,$A104,'Movements'!$D$3:$D$1002,$C104,'Movements'!$E$3:$E$1002,"In"))</f>
        <v/>
      </c>
      <c r="I104" s="16">
        <f>IF(OR($A104="",$D104=""),"",$D104-'Settings'!$B$6)</f>
        <v/>
      </c>
      <c r="J104" s="8">
        <f>IF(OR($A104="",$D104=""),"",IF($H104&gt;0,$D104+ROW()/100000,""))</f>
        <v/>
      </c>
    </row>
    <row r="105">
      <c r="A105" s="4" t="inlineStr">
        <is>
          <t>INV-041</t>
        </is>
      </c>
      <c r="B105" s="8">
        <f>IF($A105="","",IFERROR(INDEX('Items'!$B$3:$B$202,MATCH($A105,'Items'!$A$3:$A$202,0)),""))</f>
        <v/>
      </c>
      <c r="C105" s="4" t="inlineStr">
        <is>
          <t>L10095</t>
        </is>
      </c>
      <c r="D105" s="5" t="n"/>
      <c r="E105" s="6" t="n">
        <v>2</v>
      </c>
      <c r="F105" s="5" t="n">
        <v>46230</v>
      </c>
      <c r="G105" s="4" t="inlineStr">
        <is>
          <t>Main branch</t>
        </is>
      </c>
      <c r="H105" s="16">
        <f>IF($A105="","",$E105-SUMIFS('Movements'!$F$3:$F$1002,'Movements'!$B$3:$B$1002,$A105,'Movements'!$D$3:$D$1002,$C105,'Movements'!$E$3:$E$1002,"Out")-SUMIFS('Movements'!$F$3:$F$1002,'Movements'!$B$3:$B$1002,$A105,'Movements'!$D$3:$D$1002,$C105,'Movements'!$E$3:$E$1002,"Waste")+SUMIFS('Movements'!$F$3:$F$1002,'Movements'!$B$3:$B$1002,$A105,'Movements'!$D$3:$D$1002,$C105,'Movements'!$E$3:$E$1002,"In"))</f>
        <v/>
      </c>
      <c r="I105" s="16">
        <f>IF(OR($A105="",$D105=""),"",$D105-'Settings'!$B$6)</f>
        <v/>
      </c>
      <c r="J105" s="8">
        <f>IF(OR($A105="",$D105=""),"",IF($H105&gt;0,$D105+ROW()/100000,""))</f>
        <v/>
      </c>
    </row>
    <row r="106">
      <c r="A106" s="4" t="inlineStr">
        <is>
          <t>INV-041</t>
        </is>
      </c>
      <c r="B106" s="8">
        <f>IF($A106="","",IFERROR(INDEX('Items'!$B$3:$B$202,MATCH($A106,'Items'!$A$3:$A$202,0)),""))</f>
        <v/>
      </c>
      <c r="C106" s="4" t="inlineStr">
        <is>
          <t>L10149</t>
        </is>
      </c>
      <c r="D106" s="5" t="n"/>
      <c r="E106" s="6" t="n">
        <v>3</v>
      </c>
      <c r="F106" s="5" t="n">
        <v>46250</v>
      </c>
      <c r="G106" s="4" t="inlineStr">
        <is>
          <t>Main branch</t>
        </is>
      </c>
      <c r="H106" s="16">
        <f>IF($A106="","",$E106-SUMIFS('Movements'!$F$3:$F$1002,'Movements'!$B$3:$B$1002,$A106,'Movements'!$D$3:$D$1002,$C106,'Movements'!$E$3:$E$1002,"Out")-SUMIFS('Movements'!$F$3:$F$1002,'Movements'!$B$3:$B$1002,$A106,'Movements'!$D$3:$D$1002,$C106,'Movements'!$E$3:$E$1002,"Waste")+SUMIFS('Movements'!$F$3:$F$1002,'Movements'!$B$3:$B$1002,$A106,'Movements'!$D$3:$D$1002,$C106,'Movements'!$E$3:$E$1002,"In"))</f>
        <v/>
      </c>
      <c r="I106" s="16">
        <f>IF(OR($A106="",$D106=""),"",$D106-'Settings'!$B$6)</f>
        <v/>
      </c>
      <c r="J106" s="8">
        <f>IF(OR($A106="",$D106=""),"",IF($H106&gt;0,$D106+ROW()/100000,""))</f>
        <v/>
      </c>
    </row>
    <row r="107">
      <c r="A107" s="4" t="inlineStr">
        <is>
          <t>INV-041</t>
        </is>
      </c>
      <c r="B107" s="8">
        <f>IF($A107="","",IFERROR(INDEX('Items'!$B$3:$B$202,MATCH($A107,'Items'!$A$3:$A$202,0)),""))</f>
        <v/>
      </c>
      <c r="C107" s="4" t="inlineStr">
        <is>
          <t>L10162</t>
        </is>
      </c>
      <c r="D107" s="5" t="n"/>
      <c r="E107" s="6" t="n">
        <v>5</v>
      </c>
      <c r="F107" s="5" t="n">
        <v>46279</v>
      </c>
      <c r="G107" s="4" t="inlineStr">
        <is>
          <t>Main branch</t>
        </is>
      </c>
      <c r="H107" s="16">
        <f>IF($A107="","",$E107-SUMIFS('Movements'!$F$3:$F$1002,'Movements'!$B$3:$B$1002,$A107,'Movements'!$D$3:$D$1002,$C107,'Movements'!$E$3:$E$1002,"Out")-SUMIFS('Movements'!$F$3:$F$1002,'Movements'!$B$3:$B$1002,$A107,'Movements'!$D$3:$D$1002,$C107,'Movements'!$E$3:$E$1002,"Waste")+SUMIFS('Movements'!$F$3:$F$1002,'Movements'!$B$3:$B$1002,$A107,'Movements'!$D$3:$D$1002,$C107,'Movements'!$E$3:$E$1002,"In"))</f>
        <v/>
      </c>
      <c r="I107" s="16">
        <f>IF(OR($A107="",$D107=""),"",$D107-'Settings'!$B$6)</f>
        <v/>
      </c>
      <c r="J107" s="8">
        <f>IF(OR($A107="",$D107=""),"",IF($H107&gt;0,$D107+ROW()/100000,""))</f>
        <v/>
      </c>
    </row>
    <row r="108">
      <c r="A108" s="4" t="inlineStr">
        <is>
          <t>INV-042</t>
        </is>
      </c>
      <c r="B108" s="8">
        <f>IF($A108="","",IFERROR(INDEX('Items'!$B$3:$B$202,MATCH($A108,'Items'!$A$3:$A$202,0)),""))</f>
        <v/>
      </c>
      <c r="C108" s="4" t="inlineStr">
        <is>
          <t>L10248</t>
        </is>
      </c>
      <c r="D108" s="5" t="n"/>
      <c r="E108" s="6" t="n">
        <v>3</v>
      </c>
      <c r="F108" s="5" t="n">
        <v>46230</v>
      </c>
      <c r="G108" s="4" t="inlineStr">
        <is>
          <t>Main branch</t>
        </is>
      </c>
      <c r="H108" s="16">
        <f>IF($A108="","",$E108-SUMIFS('Movements'!$F$3:$F$1002,'Movements'!$B$3:$B$1002,$A108,'Movements'!$D$3:$D$1002,$C108,'Movements'!$E$3:$E$1002,"Out")-SUMIFS('Movements'!$F$3:$F$1002,'Movements'!$B$3:$B$1002,$A108,'Movements'!$D$3:$D$1002,$C108,'Movements'!$E$3:$E$1002,"Waste")+SUMIFS('Movements'!$F$3:$F$1002,'Movements'!$B$3:$B$1002,$A108,'Movements'!$D$3:$D$1002,$C108,'Movements'!$E$3:$E$1002,"In"))</f>
        <v/>
      </c>
      <c r="I108" s="16">
        <f>IF(OR($A108="",$D108=""),"",$D108-'Settings'!$B$6)</f>
        <v/>
      </c>
      <c r="J108" s="8">
        <f>IF(OR($A108="",$D108=""),"",IF($H108&gt;0,$D108+ROW()/100000,""))</f>
        <v/>
      </c>
    </row>
    <row r="109">
      <c r="A109" s="4" t="inlineStr">
        <is>
          <t>INV-043</t>
        </is>
      </c>
      <c r="B109" s="8">
        <f>IF($A109="","",IFERROR(INDEX('Items'!$B$3:$B$202,MATCH($A109,'Items'!$A$3:$A$202,0)),""))</f>
        <v/>
      </c>
      <c r="C109" s="4" t="inlineStr">
        <is>
          <t>L10331</t>
        </is>
      </c>
      <c r="D109" s="5" t="n">
        <v>47146</v>
      </c>
      <c r="E109" s="6" t="n">
        <v>3</v>
      </c>
      <c r="F109" s="5" t="n">
        <v>46223</v>
      </c>
      <c r="G109" s="4" t="inlineStr">
        <is>
          <t>Main branch</t>
        </is>
      </c>
      <c r="H109" s="16">
        <f>IF($A109="","",$E109-SUMIFS('Movements'!$F$3:$F$1002,'Movements'!$B$3:$B$1002,$A109,'Movements'!$D$3:$D$1002,$C109,'Movements'!$E$3:$E$1002,"Out")-SUMIFS('Movements'!$F$3:$F$1002,'Movements'!$B$3:$B$1002,$A109,'Movements'!$D$3:$D$1002,$C109,'Movements'!$E$3:$E$1002,"Waste")+SUMIFS('Movements'!$F$3:$F$1002,'Movements'!$B$3:$B$1002,$A109,'Movements'!$D$3:$D$1002,$C109,'Movements'!$E$3:$E$1002,"In"))</f>
        <v/>
      </c>
      <c r="I109" s="16">
        <f>IF(OR($A109="",$D109=""),"",$D109-'Settings'!$B$6)</f>
        <v/>
      </c>
      <c r="J109" s="8">
        <f>IF(OR($A109="",$D109=""),"",IF($H109&gt;0,$D109+ROW()/100000,""))</f>
        <v/>
      </c>
    </row>
    <row r="110">
      <c r="A110" s="4" t="inlineStr">
        <is>
          <t>INV-043</t>
        </is>
      </c>
      <c r="B110" s="8">
        <f>IF($A110="","",IFERROR(INDEX('Items'!$B$3:$B$202,MATCH($A110,'Items'!$A$3:$A$202,0)),""))</f>
        <v/>
      </c>
      <c r="C110" s="4" t="inlineStr">
        <is>
          <t>L10382</t>
        </is>
      </c>
      <c r="D110" s="5" t="n">
        <v>47205</v>
      </c>
      <c r="E110" s="6" t="n">
        <v>6</v>
      </c>
      <c r="F110" s="5" t="n">
        <v>46251</v>
      </c>
      <c r="G110" s="4" t="inlineStr">
        <is>
          <t>Main branch</t>
        </is>
      </c>
      <c r="H110" s="16">
        <f>IF($A110="","",$E110-SUMIFS('Movements'!$F$3:$F$1002,'Movements'!$B$3:$B$1002,$A110,'Movements'!$D$3:$D$1002,$C110,'Movements'!$E$3:$E$1002,"Out")-SUMIFS('Movements'!$F$3:$F$1002,'Movements'!$B$3:$B$1002,$A110,'Movements'!$D$3:$D$1002,$C110,'Movements'!$E$3:$E$1002,"Waste")+SUMIFS('Movements'!$F$3:$F$1002,'Movements'!$B$3:$B$1002,$A110,'Movements'!$D$3:$D$1002,$C110,'Movements'!$E$3:$E$1002,"In"))</f>
        <v/>
      </c>
      <c r="I110" s="16">
        <f>IF(OR($A110="",$D110=""),"",$D110-'Settings'!$B$6)</f>
        <v/>
      </c>
      <c r="J110" s="8">
        <f>IF(OR($A110="",$D110=""),"",IF($H110&gt;0,$D110+ROW()/100000,""))</f>
        <v/>
      </c>
    </row>
    <row r="111">
      <c r="A111" s="4" t="inlineStr">
        <is>
          <t>INV-043</t>
        </is>
      </c>
      <c r="B111" s="8">
        <f>IF($A111="","",IFERROR(INDEX('Items'!$B$3:$B$202,MATCH($A111,'Items'!$A$3:$A$202,0)),""))</f>
        <v/>
      </c>
      <c r="C111" s="4" t="inlineStr">
        <is>
          <t>L10405</t>
        </is>
      </c>
      <c r="D111" s="5" t="n">
        <v>47266</v>
      </c>
      <c r="E111" s="6" t="n">
        <v>12</v>
      </c>
      <c r="F111" s="5" t="n">
        <v>46276</v>
      </c>
      <c r="G111" s="4" t="inlineStr">
        <is>
          <t>Main branch</t>
        </is>
      </c>
      <c r="H111" s="16">
        <f>IF($A111="","",$E111-SUMIFS('Movements'!$F$3:$F$1002,'Movements'!$B$3:$B$1002,$A111,'Movements'!$D$3:$D$1002,$C111,'Movements'!$E$3:$E$1002,"Out")-SUMIFS('Movements'!$F$3:$F$1002,'Movements'!$B$3:$B$1002,$A111,'Movements'!$D$3:$D$1002,$C111,'Movements'!$E$3:$E$1002,"Waste")+SUMIFS('Movements'!$F$3:$F$1002,'Movements'!$B$3:$B$1002,$A111,'Movements'!$D$3:$D$1002,$C111,'Movements'!$E$3:$E$1002,"In"))</f>
        <v/>
      </c>
      <c r="I111" s="16">
        <f>IF(OR($A111="",$D111=""),"",$D111-'Settings'!$B$6)</f>
        <v/>
      </c>
      <c r="J111" s="8">
        <f>IF(OR($A111="",$D111=""),"",IF($H111&gt;0,$D111+ROW()/100000,""))</f>
        <v/>
      </c>
    </row>
    <row r="112">
      <c r="A112" s="4" t="inlineStr">
        <is>
          <t>INV-044</t>
        </is>
      </c>
      <c r="B112" s="8">
        <f>IF($A112="","",IFERROR(INDEX('Items'!$B$3:$B$202,MATCH($A112,'Items'!$A$3:$A$202,0)),""))</f>
        <v/>
      </c>
      <c r="C112" s="4" t="inlineStr">
        <is>
          <t>L10478</t>
        </is>
      </c>
      <c r="D112" s="5" t="n">
        <v>46780</v>
      </c>
      <c r="E112" s="6" t="n">
        <v>5</v>
      </c>
      <c r="F112" s="5" t="n">
        <v>46231</v>
      </c>
      <c r="G112" s="4" t="inlineStr">
        <is>
          <t>Main branch</t>
        </is>
      </c>
      <c r="H112" s="16">
        <f>IF($A112="","",$E112-SUMIFS('Movements'!$F$3:$F$1002,'Movements'!$B$3:$B$1002,$A112,'Movements'!$D$3:$D$1002,$C112,'Movements'!$E$3:$E$1002,"Out")-SUMIFS('Movements'!$F$3:$F$1002,'Movements'!$B$3:$B$1002,$A112,'Movements'!$D$3:$D$1002,$C112,'Movements'!$E$3:$E$1002,"Waste")+SUMIFS('Movements'!$F$3:$F$1002,'Movements'!$B$3:$B$1002,$A112,'Movements'!$D$3:$D$1002,$C112,'Movements'!$E$3:$E$1002,"In"))</f>
        <v/>
      </c>
      <c r="I112" s="16">
        <f>IF(OR($A112="",$D112=""),"",$D112-'Settings'!$B$6)</f>
        <v/>
      </c>
      <c r="J112" s="8">
        <f>IF(OR($A112="",$D112=""),"",IF($H112&gt;0,$D112+ROW()/100000,""))</f>
        <v/>
      </c>
    </row>
    <row r="113">
      <c r="A113" s="4" t="inlineStr">
        <is>
          <t>INV-045</t>
        </is>
      </c>
      <c r="B113" s="8">
        <f>IF($A113="","",IFERROR(INDEX('Items'!$B$3:$B$202,MATCH($A113,'Items'!$A$3:$A$202,0)),""))</f>
        <v/>
      </c>
      <c r="C113" s="4" t="inlineStr">
        <is>
          <t>L10566</t>
        </is>
      </c>
      <c r="D113" s="5" t="n">
        <v>47146</v>
      </c>
      <c r="E113" s="6" t="n">
        <v>6</v>
      </c>
      <c r="F113" s="5" t="n">
        <v>46230</v>
      </c>
      <c r="G113" s="4" t="inlineStr">
        <is>
          <t>Main branch</t>
        </is>
      </c>
      <c r="H113" s="16">
        <f>IF($A113="","",$E113-SUMIFS('Movements'!$F$3:$F$1002,'Movements'!$B$3:$B$1002,$A113,'Movements'!$D$3:$D$1002,$C113,'Movements'!$E$3:$E$1002,"Out")-SUMIFS('Movements'!$F$3:$F$1002,'Movements'!$B$3:$B$1002,$A113,'Movements'!$D$3:$D$1002,$C113,'Movements'!$E$3:$E$1002,"Waste")+SUMIFS('Movements'!$F$3:$F$1002,'Movements'!$B$3:$B$1002,$A113,'Movements'!$D$3:$D$1002,$C113,'Movements'!$E$3:$E$1002,"In"))</f>
        <v/>
      </c>
      <c r="I113" s="16">
        <f>IF(OR($A113="",$D113=""),"",$D113-'Settings'!$B$6)</f>
        <v/>
      </c>
      <c r="J113" s="8">
        <f>IF(OR($A113="",$D113=""),"",IF($H113&gt;0,$D113+ROW()/100000,""))</f>
        <v/>
      </c>
    </row>
    <row r="114">
      <c r="A114" s="4" t="inlineStr">
        <is>
          <t>INV-045</t>
        </is>
      </c>
      <c r="B114" s="8">
        <f>IF($A114="","",IFERROR(INDEX('Items'!$B$3:$B$202,MATCH($A114,'Items'!$A$3:$A$202,0)),""))</f>
        <v/>
      </c>
      <c r="C114" s="4" t="inlineStr">
        <is>
          <t>L10654</t>
        </is>
      </c>
      <c r="D114" s="5" t="n">
        <v>47205</v>
      </c>
      <c r="E114" s="6" t="n">
        <v>6</v>
      </c>
      <c r="F114" s="5" t="n">
        <v>46251</v>
      </c>
      <c r="G114" s="4" t="inlineStr">
        <is>
          <t>Main branch</t>
        </is>
      </c>
      <c r="H114" s="16">
        <f>IF($A114="","",$E114-SUMIFS('Movements'!$F$3:$F$1002,'Movements'!$B$3:$B$1002,$A114,'Movements'!$D$3:$D$1002,$C114,'Movements'!$E$3:$E$1002,"Out")-SUMIFS('Movements'!$F$3:$F$1002,'Movements'!$B$3:$B$1002,$A114,'Movements'!$D$3:$D$1002,$C114,'Movements'!$E$3:$E$1002,"Waste")+SUMIFS('Movements'!$F$3:$F$1002,'Movements'!$B$3:$B$1002,$A114,'Movements'!$D$3:$D$1002,$C114,'Movements'!$E$3:$E$1002,"In"))</f>
        <v/>
      </c>
      <c r="I114" s="16">
        <f>IF(OR($A114="",$D114=""),"",$D114-'Settings'!$B$6)</f>
        <v/>
      </c>
      <c r="J114" s="8">
        <f>IF(OR($A114="",$D114=""),"",IF($H114&gt;0,$D114+ROW()/100000,""))</f>
        <v/>
      </c>
    </row>
    <row r="115">
      <c r="A115" s="4" t="inlineStr">
        <is>
          <t>INV-045</t>
        </is>
      </c>
      <c r="B115" s="8">
        <f>IF($A115="","",IFERROR(INDEX('Items'!$B$3:$B$202,MATCH($A115,'Items'!$A$3:$A$202,0)),""))</f>
        <v/>
      </c>
      <c r="C115" s="4" t="inlineStr">
        <is>
          <t>L10675</t>
        </is>
      </c>
      <c r="D115" s="5" t="n">
        <v>47266</v>
      </c>
      <c r="E115" s="6" t="n">
        <v>10</v>
      </c>
      <c r="F115" s="5" t="n">
        <v>46275</v>
      </c>
      <c r="G115" s="4" t="inlineStr">
        <is>
          <t>Main branch</t>
        </is>
      </c>
      <c r="H115" s="16">
        <f>IF($A115="","",$E115-SUMIFS('Movements'!$F$3:$F$1002,'Movements'!$B$3:$B$1002,$A115,'Movements'!$D$3:$D$1002,$C115,'Movements'!$E$3:$E$1002,"Out")-SUMIFS('Movements'!$F$3:$F$1002,'Movements'!$B$3:$B$1002,$A115,'Movements'!$D$3:$D$1002,$C115,'Movements'!$E$3:$E$1002,"Waste")+SUMIFS('Movements'!$F$3:$F$1002,'Movements'!$B$3:$B$1002,$A115,'Movements'!$D$3:$D$1002,$C115,'Movements'!$E$3:$E$1002,"In"))</f>
        <v/>
      </c>
      <c r="I115" s="16">
        <f>IF(OR($A115="",$D115=""),"",$D115-'Settings'!$B$6)</f>
        <v/>
      </c>
      <c r="J115" s="8">
        <f>IF(OR($A115="",$D115=""),"",IF($H115&gt;0,$D115+ROW()/100000,""))</f>
        <v/>
      </c>
    </row>
    <row r="116">
      <c r="A116" s="4" t="inlineStr">
        <is>
          <t>INV-001</t>
        </is>
      </c>
      <c r="B116" s="8">
        <f>IF($A116="","",IFERROR(INDEX('Items'!$B$3:$B$202,MATCH($A116,'Items'!$A$3:$A$202,0)),""))</f>
        <v/>
      </c>
      <c r="C116" s="4" t="inlineStr">
        <is>
          <t>L10689</t>
        </is>
      </c>
      <c r="D116" s="5" t="n">
        <v>47146</v>
      </c>
      <c r="E116" s="6" t="n">
        <v>6</v>
      </c>
      <c r="F116" s="5" t="n">
        <v>46232</v>
      </c>
      <c r="G116" s="4" t="inlineStr">
        <is>
          <t>North branch</t>
        </is>
      </c>
      <c r="H116" s="16">
        <f>IF($A116="","",$E116-SUMIFS('Movements'!$F$3:$F$1002,'Movements'!$B$3:$B$1002,$A116,'Movements'!$D$3:$D$1002,$C116,'Movements'!$E$3:$E$1002,"Out")-SUMIFS('Movements'!$F$3:$F$1002,'Movements'!$B$3:$B$1002,$A116,'Movements'!$D$3:$D$1002,$C116,'Movements'!$E$3:$E$1002,"Waste")+SUMIFS('Movements'!$F$3:$F$1002,'Movements'!$B$3:$B$1002,$A116,'Movements'!$D$3:$D$1002,$C116,'Movements'!$E$3:$E$1002,"In"))</f>
        <v/>
      </c>
      <c r="I116" s="16">
        <f>IF(OR($A116="",$D116=""),"",$D116-'Settings'!$B$6)</f>
        <v/>
      </c>
      <c r="J116" s="8">
        <f>IF(OR($A116="",$D116=""),"",IF($H116&gt;0,$D116+ROW()/100000,""))</f>
        <v/>
      </c>
    </row>
    <row r="117">
      <c r="A117" s="4" t="inlineStr">
        <is>
          <t>INV-001</t>
        </is>
      </c>
      <c r="B117" s="8">
        <f>IF($A117="","",IFERROR(INDEX('Items'!$B$3:$B$202,MATCH($A117,'Items'!$A$3:$A$202,0)),""))</f>
        <v/>
      </c>
      <c r="C117" s="4" t="inlineStr">
        <is>
          <t>L10713</t>
        </is>
      </c>
      <c r="D117" s="5" t="n">
        <v>47205</v>
      </c>
      <c r="E117" s="6" t="n">
        <v>12</v>
      </c>
      <c r="F117" s="5" t="n">
        <v>46251</v>
      </c>
      <c r="G117" s="4" t="inlineStr">
        <is>
          <t>North branch</t>
        </is>
      </c>
      <c r="H117" s="16">
        <f>IF($A117="","",$E117-SUMIFS('Movements'!$F$3:$F$1002,'Movements'!$B$3:$B$1002,$A117,'Movements'!$D$3:$D$1002,$C117,'Movements'!$E$3:$E$1002,"Out")-SUMIFS('Movements'!$F$3:$F$1002,'Movements'!$B$3:$B$1002,$A117,'Movements'!$D$3:$D$1002,$C117,'Movements'!$E$3:$E$1002,"Waste")+SUMIFS('Movements'!$F$3:$F$1002,'Movements'!$B$3:$B$1002,$A117,'Movements'!$D$3:$D$1002,$C117,'Movements'!$E$3:$E$1002,"In"))</f>
        <v/>
      </c>
      <c r="I117" s="16">
        <f>IF(OR($A117="",$D117=""),"",$D117-'Settings'!$B$6)</f>
        <v/>
      </c>
      <c r="J117" s="8">
        <f>IF(OR($A117="",$D117=""),"",IF($H117&gt;0,$D117+ROW()/100000,""))</f>
        <v/>
      </c>
    </row>
    <row r="118">
      <c r="A118" s="4" t="inlineStr">
        <is>
          <t>INV-001</t>
        </is>
      </c>
      <c r="B118" s="8">
        <f>IF($A118="","",IFERROR(INDEX('Items'!$B$3:$B$202,MATCH($A118,'Items'!$A$3:$A$202,0)),""))</f>
        <v/>
      </c>
      <c r="C118" s="4" t="inlineStr">
        <is>
          <t>L10782</t>
        </is>
      </c>
      <c r="D118" s="5" t="n">
        <v>47266</v>
      </c>
      <c r="E118" s="6" t="n">
        <v>8</v>
      </c>
      <c r="F118" s="5" t="n">
        <v>46280</v>
      </c>
      <c r="G118" s="4" t="inlineStr">
        <is>
          <t>North branch</t>
        </is>
      </c>
      <c r="H118" s="16">
        <f>IF($A118="","",$E118-SUMIFS('Movements'!$F$3:$F$1002,'Movements'!$B$3:$B$1002,$A118,'Movements'!$D$3:$D$1002,$C118,'Movements'!$E$3:$E$1002,"Out")-SUMIFS('Movements'!$F$3:$F$1002,'Movements'!$B$3:$B$1002,$A118,'Movements'!$D$3:$D$1002,$C118,'Movements'!$E$3:$E$1002,"Waste")+SUMIFS('Movements'!$F$3:$F$1002,'Movements'!$B$3:$B$1002,$A118,'Movements'!$D$3:$D$1002,$C118,'Movements'!$E$3:$E$1002,"In"))</f>
        <v/>
      </c>
      <c r="I118" s="16">
        <f>IF(OR($A118="",$D118=""),"",$D118-'Settings'!$B$6)</f>
        <v/>
      </c>
      <c r="J118" s="8">
        <f>IF(OR($A118="",$D118=""),"",IF($H118&gt;0,$D118+ROW()/100000,""))</f>
        <v/>
      </c>
    </row>
    <row r="119">
      <c r="A119" s="4" t="inlineStr">
        <is>
          <t>INV-003</t>
        </is>
      </c>
      <c r="B119" s="8">
        <f>IF($A119="","",IFERROR(INDEX('Items'!$B$3:$B$202,MATCH($A119,'Items'!$A$3:$A$202,0)),""))</f>
        <v/>
      </c>
      <c r="C119" s="4" t="inlineStr">
        <is>
          <t>L10818</t>
        </is>
      </c>
      <c r="D119" s="5" t="n">
        <v>47146</v>
      </c>
      <c r="E119" s="6" t="n">
        <v>6</v>
      </c>
      <c r="F119" s="5" t="n">
        <v>46223</v>
      </c>
      <c r="G119" s="4" t="inlineStr">
        <is>
          <t>North branch</t>
        </is>
      </c>
      <c r="H119" s="16">
        <f>IF($A119="","",$E119-SUMIFS('Movements'!$F$3:$F$1002,'Movements'!$B$3:$B$1002,$A119,'Movements'!$D$3:$D$1002,$C119,'Movements'!$E$3:$E$1002,"Out")-SUMIFS('Movements'!$F$3:$F$1002,'Movements'!$B$3:$B$1002,$A119,'Movements'!$D$3:$D$1002,$C119,'Movements'!$E$3:$E$1002,"Waste")+SUMIFS('Movements'!$F$3:$F$1002,'Movements'!$B$3:$B$1002,$A119,'Movements'!$D$3:$D$1002,$C119,'Movements'!$E$3:$E$1002,"In"))</f>
        <v/>
      </c>
      <c r="I119" s="16">
        <f>IF(OR($A119="",$D119=""),"",$D119-'Settings'!$B$6)</f>
        <v/>
      </c>
      <c r="J119" s="8">
        <f>IF(OR($A119="",$D119=""),"",IF($H119&gt;0,$D119+ROW()/100000,""))</f>
        <v/>
      </c>
    </row>
    <row r="120">
      <c r="A120" s="4" t="inlineStr">
        <is>
          <t>INV-003</t>
        </is>
      </c>
      <c r="B120" s="8">
        <f>IF($A120="","",IFERROR(INDEX('Items'!$B$3:$B$202,MATCH($A120,'Items'!$A$3:$A$202,0)),""))</f>
        <v/>
      </c>
      <c r="C120" s="4" t="inlineStr">
        <is>
          <t>L10883</t>
        </is>
      </c>
      <c r="D120" s="5" t="n">
        <v>47205</v>
      </c>
      <c r="E120" s="6" t="n">
        <v>12</v>
      </c>
      <c r="F120" s="5" t="n">
        <v>46249</v>
      </c>
      <c r="G120" s="4" t="inlineStr">
        <is>
          <t>North branch</t>
        </is>
      </c>
      <c r="H120" s="16">
        <f>IF($A120="","",$E120-SUMIFS('Movements'!$F$3:$F$1002,'Movements'!$B$3:$B$1002,$A120,'Movements'!$D$3:$D$1002,$C120,'Movements'!$E$3:$E$1002,"Out")-SUMIFS('Movements'!$F$3:$F$1002,'Movements'!$B$3:$B$1002,$A120,'Movements'!$D$3:$D$1002,$C120,'Movements'!$E$3:$E$1002,"Waste")+SUMIFS('Movements'!$F$3:$F$1002,'Movements'!$B$3:$B$1002,$A120,'Movements'!$D$3:$D$1002,$C120,'Movements'!$E$3:$E$1002,"In"))</f>
        <v/>
      </c>
      <c r="I120" s="16">
        <f>IF(OR($A120="",$D120=""),"",$D120-'Settings'!$B$6)</f>
        <v/>
      </c>
      <c r="J120" s="8">
        <f>IF(OR($A120="",$D120=""),"",IF($H120&gt;0,$D120+ROW()/100000,""))</f>
        <v/>
      </c>
    </row>
    <row r="121">
      <c r="A121" s="4" t="inlineStr">
        <is>
          <t>INV-003</t>
        </is>
      </c>
      <c r="B121" s="8">
        <f>IF($A121="","",IFERROR(INDEX('Items'!$B$3:$B$202,MATCH($A121,'Items'!$A$3:$A$202,0)),""))</f>
        <v/>
      </c>
      <c r="C121" s="4" t="inlineStr">
        <is>
          <t>L10964</t>
        </is>
      </c>
      <c r="D121" s="5" t="n">
        <v>47266</v>
      </c>
      <c r="E121" s="6" t="n">
        <v>13</v>
      </c>
      <c r="F121" s="5" t="n">
        <v>46278</v>
      </c>
      <c r="G121" s="4" t="inlineStr">
        <is>
          <t>North branch</t>
        </is>
      </c>
      <c r="H121" s="16">
        <f>IF($A121="","",$E121-SUMIFS('Movements'!$F$3:$F$1002,'Movements'!$B$3:$B$1002,$A121,'Movements'!$D$3:$D$1002,$C121,'Movements'!$E$3:$E$1002,"Out")-SUMIFS('Movements'!$F$3:$F$1002,'Movements'!$B$3:$B$1002,$A121,'Movements'!$D$3:$D$1002,$C121,'Movements'!$E$3:$E$1002,"Waste")+SUMIFS('Movements'!$F$3:$F$1002,'Movements'!$B$3:$B$1002,$A121,'Movements'!$D$3:$D$1002,$C121,'Movements'!$E$3:$E$1002,"In"))</f>
        <v/>
      </c>
      <c r="I121" s="16">
        <f>IF(OR($A121="",$D121=""),"",$D121-'Settings'!$B$6)</f>
        <v/>
      </c>
      <c r="J121" s="8">
        <f>IF(OR($A121="",$D121=""),"",IF($H121&gt;0,$D121+ROW()/100000,""))</f>
        <v/>
      </c>
    </row>
    <row r="122">
      <c r="A122" s="4" t="inlineStr">
        <is>
          <t>INV-004</t>
        </is>
      </c>
      <c r="B122" s="8">
        <f>IF($A122="","",IFERROR(INDEX('Items'!$B$3:$B$202,MATCH($A122,'Items'!$A$3:$A$202,0)),""))</f>
        <v/>
      </c>
      <c r="C122" s="4" t="inlineStr">
        <is>
          <t>L11045</t>
        </is>
      </c>
      <c r="D122" s="5" t="n">
        <v>47146</v>
      </c>
      <c r="E122" s="6" t="n">
        <v>3</v>
      </c>
      <c r="F122" s="5" t="n">
        <v>46228</v>
      </c>
      <c r="G122" s="4" t="inlineStr">
        <is>
          <t>North branch</t>
        </is>
      </c>
      <c r="H122" s="16">
        <f>IF($A122="","",$E122-SUMIFS('Movements'!$F$3:$F$1002,'Movements'!$B$3:$B$1002,$A122,'Movements'!$D$3:$D$1002,$C122,'Movements'!$E$3:$E$1002,"Out")-SUMIFS('Movements'!$F$3:$F$1002,'Movements'!$B$3:$B$1002,$A122,'Movements'!$D$3:$D$1002,$C122,'Movements'!$E$3:$E$1002,"Waste")+SUMIFS('Movements'!$F$3:$F$1002,'Movements'!$B$3:$B$1002,$A122,'Movements'!$D$3:$D$1002,$C122,'Movements'!$E$3:$E$1002,"In"))</f>
        <v/>
      </c>
      <c r="I122" s="16">
        <f>IF(OR($A122="",$D122=""),"",$D122-'Settings'!$B$6)</f>
        <v/>
      </c>
      <c r="J122" s="8">
        <f>IF(OR($A122="",$D122=""),"",IF($H122&gt;0,$D122+ROW()/100000,""))</f>
        <v/>
      </c>
    </row>
    <row r="123">
      <c r="A123" s="4" t="inlineStr">
        <is>
          <t>INV-004</t>
        </is>
      </c>
      <c r="B123" s="8">
        <f>IF($A123="","",IFERROR(INDEX('Items'!$B$3:$B$202,MATCH($A123,'Items'!$A$3:$A$202,0)),""))</f>
        <v/>
      </c>
      <c r="C123" s="4" t="inlineStr">
        <is>
          <t>L11058</t>
        </is>
      </c>
      <c r="D123" s="5" t="n">
        <v>47205</v>
      </c>
      <c r="E123" s="6" t="n">
        <v>14</v>
      </c>
      <c r="F123" s="5" t="n">
        <v>46246</v>
      </c>
      <c r="G123" s="4" t="inlineStr">
        <is>
          <t>North branch</t>
        </is>
      </c>
      <c r="H123" s="16">
        <f>IF($A123="","",$E123-SUMIFS('Movements'!$F$3:$F$1002,'Movements'!$B$3:$B$1002,$A123,'Movements'!$D$3:$D$1002,$C123,'Movements'!$E$3:$E$1002,"Out")-SUMIFS('Movements'!$F$3:$F$1002,'Movements'!$B$3:$B$1002,$A123,'Movements'!$D$3:$D$1002,$C123,'Movements'!$E$3:$E$1002,"Waste")+SUMIFS('Movements'!$F$3:$F$1002,'Movements'!$B$3:$B$1002,$A123,'Movements'!$D$3:$D$1002,$C123,'Movements'!$E$3:$E$1002,"In"))</f>
        <v/>
      </c>
      <c r="I123" s="16">
        <f>IF(OR($A123="",$D123=""),"",$D123-'Settings'!$B$6)</f>
        <v/>
      </c>
      <c r="J123" s="8">
        <f>IF(OR($A123="",$D123=""),"",IF($H123&gt;0,$D123+ROW()/100000,""))</f>
        <v/>
      </c>
    </row>
    <row r="124">
      <c r="A124" s="4" t="inlineStr">
        <is>
          <t>INV-004</t>
        </is>
      </c>
      <c r="B124" s="8">
        <f>IF($A124="","",IFERROR(INDEX('Items'!$B$3:$B$202,MATCH($A124,'Items'!$A$3:$A$202,0)),""))</f>
        <v/>
      </c>
      <c r="C124" s="4" t="inlineStr">
        <is>
          <t>L11124</t>
        </is>
      </c>
      <c r="D124" s="5" t="n">
        <v>47266</v>
      </c>
      <c r="E124" s="6" t="n">
        <v>17</v>
      </c>
      <c r="F124" s="5" t="n">
        <v>46277</v>
      </c>
      <c r="G124" s="4" t="inlineStr">
        <is>
          <t>North branch</t>
        </is>
      </c>
      <c r="H124" s="16">
        <f>IF($A124="","",$E124-SUMIFS('Movements'!$F$3:$F$1002,'Movements'!$B$3:$B$1002,$A124,'Movements'!$D$3:$D$1002,$C124,'Movements'!$E$3:$E$1002,"Out")-SUMIFS('Movements'!$F$3:$F$1002,'Movements'!$B$3:$B$1002,$A124,'Movements'!$D$3:$D$1002,$C124,'Movements'!$E$3:$E$1002,"Waste")+SUMIFS('Movements'!$F$3:$F$1002,'Movements'!$B$3:$B$1002,$A124,'Movements'!$D$3:$D$1002,$C124,'Movements'!$E$3:$E$1002,"In"))</f>
        <v/>
      </c>
      <c r="I124" s="16">
        <f>IF(OR($A124="",$D124=""),"",$D124-'Settings'!$B$6)</f>
        <v/>
      </c>
      <c r="J124" s="8">
        <f>IF(OR($A124="",$D124=""),"",IF($H124&gt;0,$D124+ROW()/100000,""))</f>
        <v/>
      </c>
    </row>
    <row r="125">
      <c r="A125" s="4" t="inlineStr">
        <is>
          <t>INV-010</t>
        </is>
      </c>
      <c r="B125" s="8">
        <f>IF($A125="","",IFERROR(INDEX('Items'!$B$3:$B$202,MATCH($A125,'Items'!$A$3:$A$202,0)),""))</f>
        <v/>
      </c>
      <c r="C125" s="4" t="inlineStr">
        <is>
          <t>L11187</t>
        </is>
      </c>
      <c r="D125" s="5" t="n">
        <v>47146</v>
      </c>
      <c r="E125" s="6" t="n">
        <v>2</v>
      </c>
      <c r="F125" s="5" t="n">
        <v>46224</v>
      </c>
      <c r="G125" s="4" t="inlineStr">
        <is>
          <t>North branch</t>
        </is>
      </c>
      <c r="H125" s="16">
        <f>IF($A125="","",$E125-SUMIFS('Movements'!$F$3:$F$1002,'Movements'!$B$3:$B$1002,$A125,'Movements'!$D$3:$D$1002,$C125,'Movements'!$E$3:$E$1002,"Out")-SUMIFS('Movements'!$F$3:$F$1002,'Movements'!$B$3:$B$1002,$A125,'Movements'!$D$3:$D$1002,$C125,'Movements'!$E$3:$E$1002,"Waste")+SUMIFS('Movements'!$F$3:$F$1002,'Movements'!$B$3:$B$1002,$A125,'Movements'!$D$3:$D$1002,$C125,'Movements'!$E$3:$E$1002,"In"))</f>
        <v/>
      </c>
      <c r="I125" s="16">
        <f>IF(OR($A125="",$D125=""),"",$D125-'Settings'!$B$6)</f>
        <v/>
      </c>
      <c r="J125" s="8">
        <f>IF(OR($A125="",$D125=""),"",IF($H125&gt;0,$D125+ROW()/100000,""))</f>
        <v/>
      </c>
    </row>
    <row r="126">
      <c r="A126" s="4" t="inlineStr">
        <is>
          <t>INV-010</t>
        </is>
      </c>
      <c r="B126" s="8">
        <f>IF($A126="","",IFERROR(INDEX('Items'!$B$3:$B$202,MATCH($A126,'Items'!$A$3:$A$202,0)),""))</f>
        <v/>
      </c>
      <c r="C126" s="4" t="inlineStr">
        <is>
          <t>L11213</t>
        </is>
      </c>
      <c r="D126" s="5" t="n">
        <v>47205</v>
      </c>
      <c r="E126" s="6" t="n">
        <v>4</v>
      </c>
      <c r="F126" s="5" t="n">
        <v>46250</v>
      </c>
      <c r="G126" s="4" t="inlineStr">
        <is>
          <t>North branch</t>
        </is>
      </c>
      <c r="H126" s="16">
        <f>IF($A126="","",$E126-SUMIFS('Movements'!$F$3:$F$1002,'Movements'!$B$3:$B$1002,$A126,'Movements'!$D$3:$D$1002,$C126,'Movements'!$E$3:$E$1002,"Out")-SUMIFS('Movements'!$F$3:$F$1002,'Movements'!$B$3:$B$1002,$A126,'Movements'!$D$3:$D$1002,$C126,'Movements'!$E$3:$E$1002,"Waste")+SUMIFS('Movements'!$F$3:$F$1002,'Movements'!$B$3:$B$1002,$A126,'Movements'!$D$3:$D$1002,$C126,'Movements'!$E$3:$E$1002,"In"))</f>
        <v/>
      </c>
      <c r="I126" s="16">
        <f>IF(OR($A126="",$D126=""),"",$D126-'Settings'!$B$6)</f>
        <v/>
      </c>
      <c r="J126" s="8">
        <f>IF(OR($A126="",$D126=""),"",IF($H126&gt;0,$D126+ROW()/100000,""))</f>
        <v/>
      </c>
    </row>
    <row r="127">
      <c r="A127" s="4" t="inlineStr">
        <is>
          <t>INV-010</t>
        </is>
      </c>
      <c r="B127" s="8">
        <f>IF($A127="","",IFERROR(INDEX('Items'!$B$3:$B$202,MATCH($A127,'Items'!$A$3:$A$202,0)),""))</f>
        <v/>
      </c>
      <c r="C127" s="4" t="inlineStr">
        <is>
          <t>L11282</t>
        </is>
      </c>
      <c r="D127" s="5" t="n">
        <v>47266</v>
      </c>
      <c r="E127" s="6" t="n">
        <v>7</v>
      </c>
      <c r="F127" s="5" t="n">
        <v>46275</v>
      </c>
      <c r="G127" s="4" t="inlineStr">
        <is>
          <t>North branch</t>
        </is>
      </c>
      <c r="H127" s="16">
        <f>IF($A127="","",$E127-SUMIFS('Movements'!$F$3:$F$1002,'Movements'!$B$3:$B$1002,$A127,'Movements'!$D$3:$D$1002,$C127,'Movements'!$E$3:$E$1002,"Out")-SUMIFS('Movements'!$F$3:$F$1002,'Movements'!$B$3:$B$1002,$A127,'Movements'!$D$3:$D$1002,$C127,'Movements'!$E$3:$E$1002,"Waste")+SUMIFS('Movements'!$F$3:$F$1002,'Movements'!$B$3:$B$1002,$A127,'Movements'!$D$3:$D$1002,$C127,'Movements'!$E$3:$E$1002,"In"))</f>
        <v/>
      </c>
      <c r="I127" s="16">
        <f>IF(OR($A127="",$D127=""),"",$D127-'Settings'!$B$6)</f>
        <v/>
      </c>
      <c r="J127" s="8">
        <f>IF(OR($A127="",$D127=""),"",IF($H127&gt;0,$D127+ROW()/100000,""))</f>
        <v/>
      </c>
    </row>
    <row r="128">
      <c r="A128" s="4" t="inlineStr">
        <is>
          <t>INV-011</t>
        </is>
      </c>
      <c r="B128" s="8">
        <f>IF($A128="","",IFERROR(INDEX('Items'!$B$3:$B$202,MATCH($A128,'Items'!$A$3:$A$202,0)),""))</f>
        <v/>
      </c>
      <c r="C128" s="4" t="inlineStr">
        <is>
          <t>L11330</t>
        </is>
      </c>
      <c r="D128" s="5" t="n">
        <v>47146</v>
      </c>
      <c r="E128" s="6" t="n">
        <v>7</v>
      </c>
      <c r="F128" s="5" t="n">
        <v>46221</v>
      </c>
      <c r="G128" s="4" t="inlineStr">
        <is>
          <t>North branch</t>
        </is>
      </c>
      <c r="H128" s="16">
        <f>IF($A128="","",$E128-SUMIFS('Movements'!$F$3:$F$1002,'Movements'!$B$3:$B$1002,$A128,'Movements'!$D$3:$D$1002,$C128,'Movements'!$E$3:$E$1002,"Out")-SUMIFS('Movements'!$F$3:$F$1002,'Movements'!$B$3:$B$1002,$A128,'Movements'!$D$3:$D$1002,$C128,'Movements'!$E$3:$E$1002,"Waste")+SUMIFS('Movements'!$F$3:$F$1002,'Movements'!$B$3:$B$1002,$A128,'Movements'!$D$3:$D$1002,$C128,'Movements'!$E$3:$E$1002,"In"))</f>
        <v/>
      </c>
      <c r="I128" s="16">
        <f>IF(OR($A128="",$D128=""),"",$D128-'Settings'!$B$6)</f>
        <v/>
      </c>
      <c r="J128" s="8">
        <f>IF(OR($A128="",$D128=""),"",IF($H128&gt;0,$D128+ROW()/100000,""))</f>
        <v/>
      </c>
    </row>
    <row r="129">
      <c r="A129" s="4" t="inlineStr">
        <is>
          <t>INV-011</t>
        </is>
      </c>
      <c r="B129" s="8">
        <f>IF($A129="","",IFERROR(INDEX('Items'!$B$3:$B$202,MATCH($A129,'Items'!$A$3:$A$202,0)),""))</f>
        <v/>
      </c>
      <c r="C129" s="4" t="inlineStr">
        <is>
          <t>L11371</t>
        </is>
      </c>
      <c r="D129" s="5" t="n">
        <v>47205</v>
      </c>
      <c r="E129" s="6" t="n">
        <v>7</v>
      </c>
      <c r="F129" s="5" t="n">
        <v>46251</v>
      </c>
      <c r="G129" s="4" t="inlineStr">
        <is>
          <t>North branch</t>
        </is>
      </c>
      <c r="H129" s="16">
        <f>IF($A129="","",$E129-SUMIFS('Movements'!$F$3:$F$1002,'Movements'!$B$3:$B$1002,$A129,'Movements'!$D$3:$D$1002,$C129,'Movements'!$E$3:$E$1002,"Out")-SUMIFS('Movements'!$F$3:$F$1002,'Movements'!$B$3:$B$1002,$A129,'Movements'!$D$3:$D$1002,$C129,'Movements'!$E$3:$E$1002,"Waste")+SUMIFS('Movements'!$F$3:$F$1002,'Movements'!$B$3:$B$1002,$A129,'Movements'!$D$3:$D$1002,$C129,'Movements'!$E$3:$E$1002,"In"))</f>
        <v/>
      </c>
      <c r="I129" s="16">
        <f>IF(OR($A129="",$D129=""),"",$D129-'Settings'!$B$6)</f>
        <v/>
      </c>
      <c r="J129" s="8">
        <f>IF(OR($A129="",$D129=""),"",IF($H129&gt;0,$D129+ROW()/100000,""))</f>
        <v/>
      </c>
    </row>
    <row r="130">
      <c r="A130" s="4" t="inlineStr">
        <is>
          <t>INV-011</t>
        </is>
      </c>
      <c r="B130" s="8">
        <f>IF($A130="","",IFERROR(INDEX('Items'!$B$3:$B$202,MATCH($A130,'Items'!$A$3:$A$202,0)),""))</f>
        <v/>
      </c>
      <c r="C130" s="4" t="inlineStr">
        <is>
          <t>L11452</t>
        </is>
      </c>
      <c r="D130" s="5" t="n">
        <v>47266</v>
      </c>
      <c r="E130" s="6" t="n">
        <v>18</v>
      </c>
      <c r="F130" s="5" t="n">
        <v>46273</v>
      </c>
      <c r="G130" s="4" t="inlineStr">
        <is>
          <t>North branch</t>
        </is>
      </c>
      <c r="H130" s="16">
        <f>IF($A130="","",$E130-SUMIFS('Movements'!$F$3:$F$1002,'Movements'!$B$3:$B$1002,$A130,'Movements'!$D$3:$D$1002,$C130,'Movements'!$E$3:$E$1002,"Out")-SUMIFS('Movements'!$F$3:$F$1002,'Movements'!$B$3:$B$1002,$A130,'Movements'!$D$3:$D$1002,$C130,'Movements'!$E$3:$E$1002,"Waste")+SUMIFS('Movements'!$F$3:$F$1002,'Movements'!$B$3:$B$1002,$A130,'Movements'!$D$3:$D$1002,$C130,'Movements'!$E$3:$E$1002,"In"))</f>
        <v/>
      </c>
      <c r="I130" s="16">
        <f>IF(OR($A130="",$D130=""),"",$D130-'Settings'!$B$6)</f>
        <v/>
      </c>
      <c r="J130" s="8">
        <f>IF(OR($A130="",$D130=""),"",IF($H130&gt;0,$D130+ROW()/100000,""))</f>
        <v/>
      </c>
    </row>
    <row r="131">
      <c r="A131" s="4" t="inlineStr">
        <is>
          <t>INV-012</t>
        </is>
      </c>
      <c r="B131" s="8">
        <f>IF($A131="","",IFERROR(INDEX('Items'!$B$3:$B$202,MATCH($A131,'Items'!$A$3:$A$202,0)),""))</f>
        <v/>
      </c>
      <c r="C131" s="4" t="inlineStr">
        <is>
          <t>L11481</t>
        </is>
      </c>
      <c r="D131" s="5" t="n">
        <v>47146</v>
      </c>
      <c r="E131" s="6" t="n">
        <v>7</v>
      </c>
      <c r="F131" s="5" t="n">
        <v>46228</v>
      </c>
      <c r="G131" s="4" t="inlineStr">
        <is>
          <t>North branch</t>
        </is>
      </c>
      <c r="H131" s="16">
        <f>IF($A131="","",$E131-SUMIFS('Movements'!$F$3:$F$1002,'Movements'!$B$3:$B$1002,$A131,'Movements'!$D$3:$D$1002,$C131,'Movements'!$E$3:$E$1002,"Out")-SUMIFS('Movements'!$F$3:$F$1002,'Movements'!$B$3:$B$1002,$A131,'Movements'!$D$3:$D$1002,$C131,'Movements'!$E$3:$E$1002,"Waste")+SUMIFS('Movements'!$F$3:$F$1002,'Movements'!$B$3:$B$1002,$A131,'Movements'!$D$3:$D$1002,$C131,'Movements'!$E$3:$E$1002,"In"))</f>
        <v/>
      </c>
      <c r="I131" s="16">
        <f>IF(OR($A131="",$D131=""),"",$D131-'Settings'!$B$6)</f>
        <v/>
      </c>
      <c r="J131" s="8">
        <f>IF(OR($A131="",$D131=""),"",IF($H131&gt;0,$D131+ROW()/100000,""))</f>
        <v/>
      </c>
    </row>
    <row r="132">
      <c r="A132" s="4" t="inlineStr">
        <is>
          <t>INV-012</t>
        </is>
      </c>
      <c r="B132" s="8">
        <f>IF($A132="","",IFERROR(INDEX('Items'!$B$3:$B$202,MATCH($A132,'Items'!$A$3:$A$202,0)),""))</f>
        <v/>
      </c>
      <c r="C132" s="4" t="inlineStr">
        <is>
          <t>L11506</t>
        </is>
      </c>
      <c r="D132" s="5" t="n">
        <v>47205</v>
      </c>
      <c r="E132" s="6" t="n">
        <v>8</v>
      </c>
      <c r="F132" s="5" t="n">
        <v>46253</v>
      </c>
      <c r="G132" s="4" t="inlineStr">
        <is>
          <t>North branch</t>
        </is>
      </c>
      <c r="H132" s="16">
        <f>IF($A132="","",$E132-SUMIFS('Movements'!$F$3:$F$1002,'Movements'!$B$3:$B$1002,$A132,'Movements'!$D$3:$D$1002,$C132,'Movements'!$E$3:$E$1002,"Out")-SUMIFS('Movements'!$F$3:$F$1002,'Movements'!$B$3:$B$1002,$A132,'Movements'!$D$3:$D$1002,$C132,'Movements'!$E$3:$E$1002,"Waste")+SUMIFS('Movements'!$F$3:$F$1002,'Movements'!$B$3:$B$1002,$A132,'Movements'!$D$3:$D$1002,$C132,'Movements'!$E$3:$E$1002,"In"))</f>
        <v/>
      </c>
      <c r="I132" s="16">
        <f>IF(OR($A132="",$D132=""),"",$D132-'Settings'!$B$6)</f>
        <v/>
      </c>
      <c r="J132" s="8">
        <f>IF(OR($A132="",$D132=""),"",IF($H132&gt;0,$D132+ROW()/100000,""))</f>
        <v/>
      </c>
    </row>
    <row r="133">
      <c r="A133" s="4" t="inlineStr">
        <is>
          <t>INV-012</t>
        </is>
      </c>
      <c r="B133" s="8">
        <f>IF($A133="","",IFERROR(INDEX('Items'!$B$3:$B$202,MATCH($A133,'Items'!$A$3:$A$202,0)),""))</f>
        <v/>
      </c>
      <c r="C133" s="4" t="inlineStr">
        <is>
          <t>L11575</t>
        </is>
      </c>
      <c r="D133" s="5" t="n">
        <v>47266</v>
      </c>
      <c r="E133" s="6" t="n">
        <v>16</v>
      </c>
      <c r="F133" s="5" t="n">
        <v>46275</v>
      </c>
      <c r="G133" s="4" t="inlineStr">
        <is>
          <t>North branch</t>
        </is>
      </c>
      <c r="H133" s="16">
        <f>IF($A133="","",$E133-SUMIFS('Movements'!$F$3:$F$1002,'Movements'!$B$3:$B$1002,$A133,'Movements'!$D$3:$D$1002,$C133,'Movements'!$E$3:$E$1002,"Out")-SUMIFS('Movements'!$F$3:$F$1002,'Movements'!$B$3:$B$1002,$A133,'Movements'!$D$3:$D$1002,$C133,'Movements'!$E$3:$E$1002,"Waste")+SUMIFS('Movements'!$F$3:$F$1002,'Movements'!$B$3:$B$1002,$A133,'Movements'!$D$3:$D$1002,$C133,'Movements'!$E$3:$E$1002,"In"))</f>
        <v/>
      </c>
      <c r="I133" s="16">
        <f>IF(OR($A133="",$D133=""),"",$D133-'Settings'!$B$6)</f>
        <v/>
      </c>
      <c r="J133" s="8">
        <f>IF(OR($A133="",$D133=""),"",IF($H133&gt;0,$D133+ROW()/100000,""))</f>
        <v/>
      </c>
    </row>
    <row r="134">
      <c r="A134" s="4" t="inlineStr">
        <is>
          <t>INV-017</t>
        </is>
      </c>
      <c r="B134" s="8">
        <f>IF($A134="","",IFERROR(INDEX('Items'!$B$3:$B$202,MATCH($A134,'Items'!$A$3:$A$202,0)),""))</f>
        <v/>
      </c>
      <c r="C134" s="4" t="inlineStr">
        <is>
          <t>L11640</t>
        </is>
      </c>
      <c r="D134" s="5" t="n">
        <v>47146</v>
      </c>
      <c r="E134" s="6" t="n">
        <v>5</v>
      </c>
      <c r="F134" s="5" t="n">
        <v>46222</v>
      </c>
      <c r="G134" s="4" t="inlineStr">
        <is>
          <t>North branch</t>
        </is>
      </c>
      <c r="H134" s="16">
        <f>IF($A134="","",$E134-SUMIFS('Movements'!$F$3:$F$1002,'Movements'!$B$3:$B$1002,$A134,'Movements'!$D$3:$D$1002,$C134,'Movements'!$E$3:$E$1002,"Out")-SUMIFS('Movements'!$F$3:$F$1002,'Movements'!$B$3:$B$1002,$A134,'Movements'!$D$3:$D$1002,$C134,'Movements'!$E$3:$E$1002,"Waste")+SUMIFS('Movements'!$F$3:$F$1002,'Movements'!$B$3:$B$1002,$A134,'Movements'!$D$3:$D$1002,$C134,'Movements'!$E$3:$E$1002,"In"))</f>
        <v/>
      </c>
      <c r="I134" s="16">
        <f>IF(OR($A134="",$D134=""),"",$D134-'Settings'!$B$6)</f>
        <v/>
      </c>
      <c r="J134" s="8">
        <f>IF(OR($A134="",$D134=""),"",IF($H134&gt;0,$D134+ROW()/100000,""))</f>
        <v/>
      </c>
    </row>
    <row r="135">
      <c r="A135" s="4" t="inlineStr">
        <is>
          <t>INV-017</t>
        </is>
      </c>
      <c r="B135" s="8">
        <f>IF($A135="","",IFERROR(INDEX('Items'!$B$3:$B$202,MATCH($A135,'Items'!$A$3:$A$202,0)),""))</f>
        <v/>
      </c>
      <c r="C135" s="4" t="inlineStr">
        <is>
          <t>L11671</t>
        </is>
      </c>
      <c r="D135" s="5" t="n">
        <v>47205</v>
      </c>
      <c r="E135" s="6" t="n">
        <v>12</v>
      </c>
      <c r="F135" s="5" t="n">
        <v>46249</v>
      </c>
      <c r="G135" s="4" t="inlineStr">
        <is>
          <t>North branch</t>
        </is>
      </c>
      <c r="H135" s="16">
        <f>IF($A135="","",$E135-SUMIFS('Movements'!$F$3:$F$1002,'Movements'!$B$3:$B$1002,$A135,'Movements'!$D$3:$D$1002,$C135,'Movements'!$E$3:$E$1002,"Out")-SUMIFS('Movements'!$F$3:$F$1002,'Movements'!$B$3:$B$1002,$A135,'Movements'!$D$3:$D$1002,$C135,'Movements'!$E$3:$E$1002,"Waste")+SUMIFS('Movements'!$F$3:$F$1002,'Movements'!$B$3:$B$1002,$A135,'Movements'!$D$3:$D$1002,$C135,'Movements'!$E$3:$E$1002,"In"))</f>
        <v/>
      </c>
      <c r="I135" s="16">
        <f>IF(OR($A135="",$D135=""),"",$D135-'Settings'!$B$6)</f>
        <v/>
      </c>
      <c r="J135" s="8">
        <f>IF(OR($A135="",$D135=""),"",IF($H135&gt;0,$D135+ROW()/100000,""))</f>
        <v/>
      </c>
    </row>
    <row r="136">
      <c r="A136" s="4" t="inlineStr">
        <is>
          <t>INV-017</t>
        </is>
      </c>
      <c r="B136" s="8">
        <f>IF($A136="","",IFERROR(INDEX('Items'!$B$3:$B$202,MATCH($A136,'Items'!$A$3:$A$202,0)),""))</f>
        <v/>
      </c>
      <c r="C136" s="4" t="inlineStr">
        <is>
          <t>L11695</t>
        </is>
      </c>
      <c r="D136" s="5" t="n">
        <v>47266</v>
      </c>
      <c r="E136" s="6" t="n">
        <v>14</v>
      </c>
      <c r="F136" s="5" t="n">
        <v>46276</v>
      </c>
      <c r="G136" s="4" t="inlineStr">
        <is>
          <t>North branch</t>
        </is>
      </c>
      <c r="H136" s="16">
        <f>IF($A136="","",$E136-SUMIFS('Movements'!$F$3:$F$1002,'Movements'!$B$3:$B$1002,$A136,'Movements'!$D$3:$D$1002,$C136,'Movements'!$E$3:$E$1002,"Out")-SUMIFS('Movements'!$F$3:$F$1002,'Movements'!$B$3:$B$1002,$A136,'Movements'!$D$3:$D$1002,$C136,'Movements'!$E$3:$E$1002,"Waste")+SUMIFS('Movements'!$F$3:$F$1002,'Movements'!$B$3:$B$1002,$A136,'Movements'!$D$3:$D$1002,$C136,'Movements'!$E$3:$E$1002,"In"))</f>
        <v/>
      </c>
      <c r="I136" s="16">
        <f>IF(OR($A136="",$D136=""),"",$D136-'Settings'!$B$6)</f>
        <v/>
      </c>
      <c r="J136" s="8">
        <f>IF(OR($A136="",$D136=""),"",IF($H136&gt;0,$D136+ROW()/100000,""))</f>
        <v/>
      </c>
    </row>
    <row r="137">
      <c r="A137" s="4" t="inlineStr">
        <is>
          <t>INV-033</t>
        </is>
      </c>
      <c r="B137" s="8">
        <f>IF($A137="","",IFERROR(INDEX('Items'!$B$3:$B$202,MATCH($A137,'Items'!$A$3:$A$202,0)),""))</f>
        <v/>
      </c>
      <c r="C137" s="4" t="inlineStr">
        <is>
          <t>L11760</t>
        </is>
      </c>
      <c r="D137" s="5" t="n"/>
      <c r="E137" s="6" t="n">
        <v>4</v>
      </c>
      <c r="F137" s="5" t="n">
        <v>46228</v>
      </c>
      <c r="G137" s="4" t="inlineStr">
        <is>
          <t>North branch</t>
        </is>
      </c>
      <c r="H137" s="16">
        <f>IF($A137="","",$E137-SUMIFS('Movements'!$F$3:$F$1002,'Movements'!$B$3:$B$1002,$A137,'Movements'!$D$3:$D$1002,$C137,'Movements'!$E$3:$E$1002,"Out")-SUMIFS('Movements'!$F$3:$F$1002,'Movements'!$B$3:$B$1002,$A137,'Movements'!$D$3:$D$1002,$C137,'Movements'!$E$3:$E$1002,"Waste")+SUMIFS('Movements'!$F$3:$F$1002,'Movements'!$B$3:$B$1002,$A137,'Movements'!$D$3:$D$1002,$C137,'Movements'!$E$3:$E$1002,"In"))</f>
        <v/>
      </c>
      <c r="I137" s="16">
        <f>IF(OR($A137="",$D137=""),"",$D137-'Settings'!$B$6)</f>
        <v/>
      </c>
      <c r="J137" s="8">
        <f>IF(OR($A137="",$D137=""),"",IF($H137&gt;0,$D137+ROW()/100000,""))</f>
        <v/>
      </c>
    </row>
    <row r="138">
      <c r="A138" s="4" t="inlineStr">
        <is>
          <t>INV-033</t>
        </is>
      </c>
      <c r="B138" s="8">
        <f>IF($A138="","",IFERROR(INDEX('Items'!$B$3:$B$202,MATCH($A138,'Items'!$A$3:$A$202,0)),""))</f>
        <v/>
      </c>
      <c r="C138" s="4" t="inlineStr">
        <is>
          <t>L11793</t>
        </is>
      </c>
      <c r="D138" s="5" t="n"/>
      <c r="E138" s="6" t="n">
        <v>8</v>
      </c>
      <c r="F138" s="5" t="n">
        <v>46247</v>
      </c>
      <c r="G138" s="4" t="inlineStr">
        <is>
          <t>North branch</t>
        </is>
      </c>
      <c r="H138" s="16">
        <f>IF($A138="","",$E138-SUMIFS('Movements'!$F$3:$F$1002,'Movements'!$B$3:$B$1002,$A138,'Movements'!$D$3:$D$1002,$C138,'Movements'!$E$3:$E$1002,"Out")-SUMIFS('Movements'!$F$3:$F$1002,'Movements'!$B$3:$B$1002,$A138,'Movements'!$D$3:$D$1002,$C138,'Movements'!$E$3:$E$1002,"Waste")+SUMIFS('Movements'!$F$3:$F$1002,'Movements'!$B$3:$B$1002,$A138,'Movements'!$D$3:$D$1002,$C138,'Movements'!$E$3:$E$1002,"In"))</f>
        <v/>
      </c>
      <c r="I138" s="16">
        <f>IF(OR($A138="",$D138=""),"",$D138-'Settings'!$B$6)</f>
        <v/>
      </c>
      <c r="J138" s="8">
        <f>IF(OR($A138="",$D138=""),"",IF($H138&gt;0,$D138+ROW()/100000,""))</f>
        <v/>
      </c>
    </row>
    <row r="139">
      <c r="A139" s="4" t="inlineStr">
        <is>
          <t>INV-033</t>
        </is>
      </c>
      <c r="B139" s="8">
        <f>IF($A139="","",IFERROR(INDEX('Items'!$B$3:$B$202,MATCH($A139,'Items'!$A$3:$A$202,0)),""))</f>
        <v/>
      </c>
      <c r="C139" s="4" t="inlineStr">
        <is>
          <t>L11834</t>
        </is>
      </c>
      <c r="D139" s="5" t="n"/>
      <c r="E139" s="6" t="n">
        <v>14</v>
      </c>
      <c r="F139" s="5" t="n">
        <v>46279</v>
      </c>
      <c r="G139" s="4" t="inlineStr">
        <is>
          <t>North branch</t>
        </is>
      </c>
      <c r="H139" s="16">
        <f>IF($A139="","",$E139-SUMIFS('Movements'!$F$3:$F$1002,'Movements'!$B$3:$B$1002,$A139,'Movements'!$D$3:$D$1002,$C139,'Movements'!$E$3:$E$1002,"Out")-SUMIFS('Movements'!$F$3:$F$1002,'Movements'!$B$3:$B$1002,$A139,'Movements'!$D$3:$D$1002,$C139,'Movements'!$E$3:$E$1002,"Waste")+SUMIFS('Movements'!$F$3:$F$1002,'Movements'!$B$3:$B$1002,$A139,'Movements'!$D$3:$D$1002,$C139,'Movements'!$E$3:$E$1002,"In"))</f>
        <v/>
      </c>
      <c r="I139" s="16">
        <f>IF(OR($A139="",$D139=""),"",$D139-'Settings'!$B$6)</f>
        <v/>
      </c>
      <c r="J139" s="8">
        <f>IF(OR($A139="",$D139=""),"",IF($H139&gt;0,$D139+ROW()/100000,""))</f>
        <v/>
      </c>
    </row>
    <row r="140">
      <c r="A140" s="4" t="n"/>
      <c r="B140" s="8">
        <f>IF($A140="","",IFERROR(INDEX('Items'!$B$3:$B$202,MATCH($A140,'Items'!$A$3:$A$202,0)),""))</f>
        <v/>
      </c>
      <c r="C140" s="4" t="n"/>
      <c r="D140" s="5" t="n"/>
      <c r="E140" s="6" t="n"/>
      <c r="F140" s="5" t="n"/>
      <c r="G140" s="4" t="n"/>
      <c r="H140" s="16">
        <f>IF($A140="","",$E140-SUMIFS('Movements'!$F$3:$F$1002,'Movements'!$B$3:$B$1002,$A140,'Movements'!$D$3:$D$1002,$C140,'Movements'!$E$3:$E$1002,"Out")-SUMIFS('Movements'!$F$3:$F$1002,'Movements'!$B$3:$B$1002,$A140,'Movements'!$D$3:$D$1002,$C140,'Movements'!$E$3:$E$1002,"Waste")+SUMIFS('Movements'!$F$3:$F$1002,'Movements'!$B$3:$B$1002,$A140,'Movements'!$D$3:$D$1002,$C140,'Movements'!$E$3:$E$1002,"In"))</f>
        <v/>
      </c>
      <c r="I140" s="16">
        <f>IF(OR($A140="",$D140=""),"",$D140-'Settings'!$B$6)</f>
        <v/>
      </c>
      <c r="J140" s="8">
        <f>IF(OR($A140="",$D140=""),"",IF($H140&gt;0,$D140+ROW()/100000,""))</f>
        <v/>
      </c>
    </row>
    <row r="141">
      <c r="A141" s="4" t="n"/>
      <c r="B141" s="8">
        <f>IF($A141="","",IFERROR(INDEX('Items'!$B$3:$B$202,MATCH($A141,'Items'!$A$3:$A$202,0)),""))</f>
        <v/>
      </c>
      <c r="C141" s="4" t="n"/>
      <c r="D141" s="5" t="n"/>
      <c r="E141" s="6" t="n"/>
      <c r="F141" s="5" t="n"/>
      <c r="G141" s="4" t="n"/>
      <c r="H141" s="16">
        <f>IF($A141="","",$E141-SUMIFS('Movements'!$F$3:$F$1002,'Movements'!$B$3:$B$1002,$A141,'Movements'!$D$3:$D$1002,$C141,'Movements'!$E$3:$E$1002,"Out")-SUMIFS('Movements'!$F$3:$F$1002,'Movements'!$B$3:$B$1002,$A141,'Movements'!$D$3:$D$1002,$C141,'Movements'!$E$3:$E$1002,"Waste")+SUMIFS('Movements'!$F$3:$F$1002,'Movements'!$B$3:$B$1002,$A141,'Movements'!$D$3:$D$1002,$C141,'Movements'!$E$3:$E$1002,"In"))</f>
        <v/>
      </c>
      <c r="I141" s="16">
        <f>IF(OR($A141="",$D141=""),"",$D141-'Settings'!$B$6)</f>
        <v/>
      </c>
      <c r="J141" s="8">
        <f>IF(OR($A141="",$D141=""),"",IF($H141&gt;0,$D141+ROW()/100000,""))</f>
        <v/>
      </c>
    </row>
    <row r="142">
      <c r="A142" s="4" t="n"/>
      <c r="B142" s="8">
        <f>IF($A142="","",IFERROR(INDEX('Items'!$B$3:$B$202,MATCH($A142,'Items'!$A$3:$A$202,0)),""))</f>
        <v/>
      </c>
      <c r="C142" s="4" t="n"/>
      <c r="D142" s="5" t="n"/>
      <c r="E142" s="6" t="n"/>
      <c r="F142" s="5" t="n"/>
      <c r="G142" s="4" t="n"/>
      <c r="H142" s="16">
        <f>IF($A142="","",$E142-SUMIFS('Movements'!$F$3:$F$1002,'Movements'!$B$3:$B$1002,$A142,'Movements'!$D$3:$D$1002,$C142,'Movements'!$E$3:$E$1002,"Out")-SUMIFS('Movements'!$F$3:$F$1002,'Movements'!$B$3:$B$1002,$A142,'Movements'!$D$3:$D$1002,$C142,'Movements'!$E$3:$E$1002,"Waste")+SUMIFS('Movements'!$F$3:$F$1002,'Movements'!$B$3:$B$1002,$A142,'Movements'!$D$3:$D$1002,$C142,'Movements'!$E$3:$E$1002,"In"))</f>
        <v/>
      </c>
      <c r="I142" s="16">
        <f>IF(OR($A142="",$D142=""),"",$D142-'Settings'!$B$6)</f>
        <v/>
      </c>
      <c r="J142" s="8">
        <f>IF(OR($A142="",$D142=""),"",IF($H142&gt;0,$D142+ROW()/100000,""))</f>
        <v/>
      </c>
    </row>
    <row r="143">
      <c r="A143" s="4" t="n"/>
      <c r="B143" s="8">
        <f>IF($A143="","",IFERROR(INDEX('Items'!$B$3:$B$202,MATCH($A143,'Items'!$A$3:$A$202,0)),""))</f>
        <v/>
      </c>
      <c r="C143" s="4" t="n"/>
      <c r="D143" s="5" t="n"/>
      <c r="E143" s="6" t="n"/>
      <c r="F143" s="5" t="n"/>
      <c r="G143" s="4" t="n"/>
      <c r="H143" s="16">
        <f>IF($A143="","",$E143-SUMIFS('Movements'!$F$3:$F$1002,'Movements'!$B$3:$B$1002,$A143,'Movements'!$D$3:$D$1002,$C143,'Movements'!$E$3:$E$1002,"Out")-SUMIFS('Movements'!$F$3:$F$1002,'Movements'!$B$3:$B$1002,$A143,'Movements'!$D$3:$D$1002,$C143,'Movements'!$E$3:$E$1002,"Waste")+SUMIFS('Movements'!$F$3:$F$1002,'Movements'!$B$3:$B$1002,$A143,'Movements'!$D$3:$D$1002,$C143,'Movements'!$E$3:$E$1002,"In"))</f>
        <v/>
      </c>
      <c r="I143" s="16">
        <f>IF(OR($A143="",$D143=""),"",$D143-'Settings'!$B$6)</f>
        <v/>
      </c>
      <c r="J143" s="8">
        <f>IF(OR($A143="",$D143=""),"",IF($H143&gt;0,$D143+ROW()/100000,""))</f>
        <v/>
      </c>
    </row>
    <row r="144">
      <c r="A144" s="4" t="n"/>
      <c r="B144" s="8">
        <f>IF($A144="","",IFERROR(INDEX('Items'!$B$3:$B$202,MATCH($A144,'Items'!$A$3:$A$202,0)),""))</f>
        <v/>
      </c>
      <c r="C144" s="4" t="n"/>
      <c r="D144" s="5" t="n"/>
      <c r="E144" s="6" t="n"/>
      <c r="F144" s="5" t="n"/>
      <c r="G144" s="4" t="n"/>
      <c r="H144" s="16">
        <f>IF($A144="","",$E144-SUMIFS('Movements'!$F$3:$F$1002,'Movements'!$B$3:$B$1002,$A144,'Movements'!$D$3:$D$1002,$C144,'Movements'!$E$3:$E$1002,"Out")-SUMIFS('Movements'!$F$3:$F$1002,'Movements'!$B$3:$B$1002,$A144,'Movements'!$D$3:$D$1002,$C144,'Movements'!$E$3:$E$1002,"Waste")+SUMIFS('Movements'!$F$3:$F$1002,'Movements'!$B$3:$B$1002,$A144,'Movements'!$D$3:$D$1002,$C144,'Movements'!$E$3:$E$1002,"In"))</f>
        <v/>
      </c>
      <c r="I144" s="16">
        <f>IF(OR($A144="",$D144=""),"",$D144-'Settings'!$B$6)</f>
        <v/>
      </c>
      <c r="J144" s="8">
        <f>IF(OR($A144="",$D144=""),"",IF($H144&gt;0,$D144+ROW()/100000,""))</f>
        <v/>
      </c>
    </row>
    <row r="145">
      <c r="A145" s="4" t="n"/>
      <c r="B145" s="8">
        <f>IF($A145="","",IFERROR(INDEX('Items'!$B$3:$B$202,MATCH($A145,'Items'!$A$3:$A$202,0)),""))</f>
        <v/>
      </c>
      <c r="C145" s="4" t="n"/>
      <c r="D145" s="5" t="n"/>
      <c r="E145" s="6" t="n"/>
      <c r="F145" s="5" t="n"/>
      <c r="G145" s="4" t="n"/>
      <c r="H145" s="16">
        <f>IF($A145="","",$E145-SUMIFS('Movements'!$F$3:$F$1002,'Movements'!$B$3:$B$1002,$A145,'Movements'!$D$3:$D$1002,$C145,'Movements'!$E$3:$E$1002,"Out")-SUMIFS('Movements'!$F$3:$F$1002,'Movements'!$B$3:$B$1002,$A145,'Movements'!$D$3:$D$1002,$C145,'Movements'!$E$3:$E$1002,"Waste")+SUMIFS('Movements'!$F$3:$F$1002,'Movements'!$B$3:$B$1002,$A145,'Movements'!$D$3:$D$1002,$C145,'Movements'!$E$3:$E$1002,"In"))</f>
        <v/>
      </c>
      <c r="I145" s="16">
        <f>IF(OR($A145="",$D145=""),"",$D145-'Settings'!$B$6)</f>
        <v/>
      </c>
      <c r="J145" s="8">
        <f>IF(OR($A145="",$D145=""),"",IF($H145&gt;0,$D145+ROW()/100000,""))</f>
        <v/>
      </c>
    </row>
    <row r="146">
      <c r="A146" s="4" t="n"/>
      <c r="B146" s="8">
        <f>IF($A146="","",IFERROR(INDEX('Items'!$B$3:$B$202,MATCH($A146,'Items'!$A$3:$A$202,0)),""))</f>
        <v/>
      </c>
      <c r="C146" s="4" t="n"/>
      <c r="D146" s="5" t="n"/>
      <c r="E146" s="6" t="n"/>
      <c r="F146" s="5" t="n"/>
      <c r="G146" s="4" t="n"/>
      <c r="H146" s="16">
        <f>IF($A146="","",$E146-SUMIFS('Movements'!$F$3:$F$1002,'Movements'!$B$3:$B$1002,$A146,'Movements'!$D$3:$D$1002,$C146,'Movements'!$E$3:$E$1002,"Out")-SUMIFS('Movements'!$F$3:$F$1002,'Movements'!$B$3:$B$1002,$A146,'Movements'!$D$3:$D$1002,$C146,'Movements'!$E$3:$E$1002,"Waste")+SUMIFS('Movements'!$F$3:$F$1002,'Movements'!$B$3:$B$1002,$A146,'Movements'!$D$3:$D$1002,$C146,'Movements'!$E$3:$E$1002,"In"))</f>
        <v/>
      </c>
      <c r="I146" s="16">
        <f>IF(OR($A146="",$D146=""),"",$D146-'Settings'!$B$6)</f>
        <v/>
      </c>
      <c r="J146" s="8">
        <f>IF(OR($A146="",$D146=""),"",IF($H146&gt;0,$D146+ROW()/100000,""))</f>
        <v/>
      </c>
    </row>
    <row r="147">
      <c r="A147" s="4" t="n"/>
      <c r="B147" s="8">
        <f>IF($A147="","",IFERROR(INDEX('Items'!$B$3:$B$202,MATCH($A147,'Items'!$A$3:$A$202,0)),""))</f>
        <v/>
      </c>
      <c r="C147" s="4" t="n"/>
      <c r="D147" s="5" t="n"/>
      <c r="E147" s="6" t="n"/>
      <c r="F147" s="5" t="n"/>
      <c r="G147" s="4" t="n"/>
      <c r="H147" s="16">
        <f>IF($A147="","",$E147-SUMIFS('Movements'!$F$3:$F$1002,'Movements'!$B$3:$B$1002,$A147,'Movements'!$D$3:$D$1002,$C147,'Movements'!$E$3:$E$1002,"Out")-SUMIFS('Movements'!$F$3:$F$1002,'Movements'!$B$3:$B$1002,$A147,'Movements'!$D$3:$D$1002,$C147,'Movements'!$E$3:$E$1002,"Waste")+SUMIFS('Movements'!$F$3:$F$1002,'Movements'!$B$3:$B$1002,$A147,'Movements'!$D$3:$D$1002,$C147,'Movements'!$E$3:$E$1002,"In"))</f>
        <v/>
      </c>
      <c r="I147" s="16">
        <f>IF(OR($A147="",$D147=""),"",$D147-'Settings'!$B$6)</f>
        <v/>
      </c>
      <c r="J147" s="8">
        <f>IF(OR($A147="",$D147=""),"",IF($H147&gt;0,$D147+ROW()/100000,""))</f>
        <v/>
      </c>
    </row>
    <row r="148">
      <c r="A148" s="4" t="n"/>
      <c r="B148" s="8">
        <f>IF($A148="","",IFERROR(INDEX('Items'!$B$3:$B$202,MATCH($A148,'Items'!$A$3:$A$202,0)),""))</f>
        <v/>
      </c>
      <c r="C148" s="4" t="n"/>
      <c r="D148" s="5" t="n"/>
      <c r="E148" s="6" t="n"/>
      <c r="F148" s="5" t="n"/>
      <c r="G148" s="4" t="n"/>
      <c r="H148" s="16">
        <f>IF($A148="","",$E148-SUMIFS('Movements'!$F$3:$F$1002,'Movements'!$B$3:$B$1002,$A148,'Movements'!$D$3:$D$1002,$C148,'Movements'!$E$3:$E$1002,"Out")-SUMIFS('Movements'!$F$3:$F$1002,'Movements'!$B$3:$B$1002,$A148,'Movements'!$D$3:$D$1002,$C148,'Movements'!$E$3:$E$1002,"Waste")+SUMIFS('Movements'!$F$3:$F$1002,'Movements'!$B$3:$B$1002,$A148,'Movements'!$D$3:$D$1002,$C148,'Movements'!$E$3:$E$1002,"In"))</f>
        <v/>
      </c>
      <c r="I148" s="16">
        <f>IF(OR($A148="",$D148=""),"",$D148-'Settings'!$B$6)</f>
        <v/>
      </c>
      <c r="J148" s="8">
        <f>IF(OR($A148="",$D148=""),"",IF($H148&gt;0,$D148+ROW()/100000,""))</f>
        <v/>
      </c>
    </row>
    <row r="149">
      <c r="A149" s="4" t="n"/>
      <c r="B149" s="8">
        <f>IF($A149="","",IFERROR(INDEX('Items'!$B$3:$B$202,MATCH($A149,'Items'!$A$3:$A$202,0)),""))</f>
        <v/>
      </c>
      <c r="C149" s="4" t="n"/>
      <c r="D149" s="5" t="n"/>
      <c r="E149" s="6" t="n"/>
      <c r="F149" s="5" t="n"/>
      <c r="G149" s="4" t="n"/>
      <c r="H149" s="16">
        <f>IF($A149="","",$E149-SUMIFS('Movements'!$F$3:$F$1002,'Movements'!$B$3:$B$1002,$A149,'Movements'!$D$3:$D$1002,$C149,'Movements'!$E$3:$E$1002,"Out")-SUMIFS('Movements'!$F$3:$F$1002,'Movements'!$B$3:$B$1002,$A149,'Movements'!$D$3:$D$1002,$C149,'Movements'!$E$3:$E$1002,"Waste")+SUMIFS('Movements'!$F$3:$F$1002,'Movements'!$B$3:$B$1002,$A149,'Movements'!$D$3:$D$1002,$C149,'Movements'!$E$3:$E$1002,"In"))</f>
        <v/>
      </c>
      <c r="I149" s="16">
        <f>IF(OR($A149="",$D149=""),"",$D149-'Settings'!$B$6)</f>
        <v/>
      </c>
      <c r="J149" s="8">
        <f>IF(OR($A149="",$D149=""),"",IF($H149&gt;0,$D149+ROW()/100000,""))</f>
        <v/>
      </c>
    </row>
    <row r="150">
      <c r="A150" s="4" t="n"/>
      <c r="B150" s="8">
        <f>IF($A150="","",IFERROR(INDEX('Items'!$B$3:$B$202,MATCH($A150,'Items'!$A$3:$A$202,0)),""))</f>
        <v/>
      </c>
      <c r="C150" s="4" t="n"/>
      <c r="D150" s="5" t="n"/>
      <c r="E150" s="6" t="n"/>
      <c r="F150" s="5" t="n"/>
      <c r="G150" s="4" t="n"/>
      <c r="H150" s="16">
        <f>IF($A150="","",$E150-SUMIFS('Movements'!$F$3:$F$1002,'Movements'!$B$3:$B$1002,$A150,'Movements'!$D$3:$D$1002,$C150,'Movements'!$E$3:$E$1002,"Out")-SUMIFS('Movements'!$F$3:$F$1002,'Movements'!$B$3:$B$1002,$A150,'Movements'!$D$3:$D$1002,$C150,'Movements'!$E$3:$E$1002,"Waste")+SUMIFS('Movements'!$F$3:$F$1002,'Movements'!$B$3:$B$1002,$A150,'Movements'!$D$3:$D$1002,$C150,'Movements'!$E$3:$E$1002,"In"))</f>
        <v/>
      </c>
      <c r="I150" s="16">
        <f>IF(OR($A150="",$D150=""),"",$D150-'Settings'!$B$6)</f>
        <v/>
      </c>
      <c r="J150" s="8">
        <f>IF(OR($A150="",$D150=""),"",IF($H150&gt;0,$D150+ROW()/100000,""))</f>
        <v/>
      </c>
    </row>
    <row r="151">
      <c r="A151" s="4" t="n"/>
      <c r="B151" s="8">
        <f>IF($A151="","",IFERROR(INDEX('Items'!$B$3:$B$202,MATCH($A151,'Items'!$A$3:$A$202,0)),""))</f>
        <v/>
      </c>
      <c r="C151" s="4" t="n"/>
      <c r="D151" s="5" t="n"/>
      <c r="E151" s="6" t="n"/>
      <c r="F151" s="5" t="n"/>
      <c r="G151" s="4" t="n"/>
      <c r="H151" s="16">
        <f>IF($A151="","",$E151-SUMIFS('Movements'!$F$3:$F$1002,'Movements'!$B$3:$B$1002,$A151,'Movements'!$D$3:$D$1002,$C151,'Movements'!$E$3:$E$1002,"Out")-SUMIFS('Movements'!$F$3:$F$1002,'Movements'!$B$3:$B$1002,$A151,'Movements'!$D$3:$D$1002,$C151,'Movements'!$E$3:$E$1002,"Waste")+SUMIFS('Movements'!$F$3:$F$1002,'Movements'!$B$3:$B$1002,$A151,'Movements'!$D$3:$D$1002,$C151,'Movements'!$E$3:$E$1002,"In"))</f>
        <v/>
      </c>
      <c r="I151" s="16">
        <f>IF(OR($A151="",$D151=""),"",$D151-'Settings'!$B$6)</f>
        <v/>
      </c>
      <c r="J151" s="8">
        <f>IF(OR($A151="",$D151=""),"",IF($H151&gt;0,$D151+ROW()/100000,""))</f>
        <v/>
      </c>
    </row>
    <row r="152">
      <c r="A152" s="4" t="n"/>
      <c r="B152" s="8">
        <f>IF($A152="","",IFERROR(INDEX('Items'!$B$3:$B$202,MATCH($A152,'Items'!$A$3:$A$202,0)),""))</f>
        <v/>
      </c>
      <c r="C152" s="4" t="n"/>
      <c r="D152" s="5" t="n"/>
      <c r="E152" s="6" t="n"/>
      <c r="F152" s="5" t="n"/>
      <c r="G152" s="4" t="n"/>
      <c r="H152" s="16">
        <f>IF($A152="","",$E152-SUMIFS('Movements'!$F$3:$F$1002,'Movements'!$B$3:$B$1002,$A152,'Movements'!$D$3:$D$1002,$C152,'Movements'!$E$3:$E$1002,"Out")-SUMIFS('Movements'!$F$3:$F$1002,'Movements'!$B$3:$B$1002,$A152,'Movements'!$D$3:$D$1002,$C152,'Movements'!$E$3:$E$1002,"Waste")+SUMIFS('Movements'!$F$3:$F$1002,'Movements'!$B$3:$B$1002,$A152,'Movements'!$D$3:$D$1002,$C152,'Movements'!$E$3:$E$1002,"In"))</f>
        <v/>
      </c>
      <c r="I152" s="16">
        <f>IF(OR($A152="",$D152=""),"",$D152-'Settings'!$B$6)</f>
        <v/>
      </c>
      <c r="J152" s="8">
        <f>IF(OR($A152="",$D152=""),"",IF($H152&gt;0,$D152+ROW()/100000,""))</f>
        <v/>
      </c>
    </row>
    <row r="153">
      <c r="A153" s="4" t="n"/>
      <c r="B153" s="8">
        <f>IF($A153="","",IFERROR(INDEX('Items'!$B$3:$B$202,MATCH($A153,'Items'!$A$3:$A$202,0)),""))</f>
        <v/>
      </c>
      <c r="C153" s="4" t="n"/>
      <c r="D153" s="5" t="n"/>
      <c r="E153" s="6" t="n"/>
      <c r="F153" s="5" t="n"/>
      <c r="G153" s="4" t="n"/>
      <c r="H153" s="16">
        <f>IF($A153="","",$E153-SUMIFS('Movements'!$F$3:$F$1002,'Movements'!$B$3:$B$1002,$A153,'Movements'!$D$3:$D$1002,$C153,'Movements'!$E$3:$E$1002,"Out")-SUMIFS('Movements'!$F$3:$F$1002,'Movements'!$B$3:$B$1002,$A153,'Movements'!$D$3:$D$1002,$C153,'Movements'!$E$3:$E$1002,"Waste")+SUMIFS('Movements'!$F$3:$F$1002,'Movements'!$B$3:$B$1002,$A153,'Movements'!$D$3:$D$1002,$C153,'Movements'!$E$3:$E$1002,"In"))</f>
        <v/>
      </c>
      <c r="I153" s="16">
        <f>IF(OR($A153="",$D153=""),"",$D153-'Settings'!$B$6)</f>
        <v/>
      </c>
      <c r="J153" s="8">
        <f>IF(OR($A153="",$D153=""),"",IF($H153&gt;0,$D153+ROW()/100000,""))</f>
        <v/>
      </c>
    </row>
    <row r="154">
      <c r="A154" s="4" t="n"/>
      <c r="B154" s="8">
        <f>IF($A154="","",IFERROR(INDEX('Items'!$B$3:$B$202,MATCH($A154,'Items'!$A$3:$A$202,0)),""))</f>
        <v/>
      </c>
      <c r="C154" s="4" t="n"/>
      <c r="D154" s="5" t="n"/>
      <c r="E154" s="6" t="n"/>
      <c r="F154" s="5" t="n"/>
      <c r="G154" s="4" t="n"/>
      <c r="H154" s="16">
        <f>IF($A154="","",$E154-SUMIFS('Movements'!$F$3:$F$1002,'Movements'!$B$3:$B$1002,$A154,'Movements'!$D$3:$D$1002,$C154,'Movements'!$E$3:$E$1002,"Out")-SUMIFS('Movements'!$F$3:$F$1002,'Movements'!$B$3:$B$1002,$A154,'Movements'!$D$3:$D$1002,$C154,'Movements'!$E$3:$E$1002,"Waste")+SUMIFS('Movements'!$F$3:$F$1002,'Movements'!$B$3:$B$1002,$A154,'Movements'!$D$3:$D$1002,$C154,'Movements'!$E$3:$E$1002,"In"))</f>
        <v/>
      </c>
      <c r="I154" s="16">
        <f>IF(OR($A154="",$D154=""),"",$D154-'Settings'!$B$6)</f>
        <v/>
      </c>
      <c r="J154" s="8">
        <f>IF(OR($A154="",$D154=""),"",IF($H154&gt;0,$D154+ROW()/100000,""))</f>
        <v/>
      </c>
    </row>
    <row r="155">
      <c r="A155" s="4" t="n"/>
      <c r="B155" s="8">
        <f>IF($A155="","",IFERROR(INDEX('Items'!$B$3:$B$202,MATCH($A155,'Items'!$A$3:$A$202,0)),""))</f>
        <v/>
      </c>
      <c r="C155" s="4" t="n"/>
      <c r="D155" s="5" t="n"/>
      <c r="E155" s="6" t="n"/>
      <c r="F155" s="5" t="n"/>
      <c r="G155" s="4" t="n"/>
      <c r="H155" s="16">
        <f>IF($A155="","",$E155-SUMIFS('Movements'!$F$3:$F$1002,'Movements'!$B$3:$B$1002,$A155,'Movements'!$D$3:$D$1002,$C155,'Movements'!$E$3:$E$1002,"Out")-SUMIFS('Movements'!$F$3:$F$1002,'Movements'!$B$3:$B$1002,$A155,'Movements'!$D$3:$D$1002,$C155,'Movements'!$E$3:$E$1002,"Waste")+SUMIFS('Movements'!$F$3:$F$1002,'Movements'!$B$3:$B$1002,$A155,'Movements'!$D$3:$D$1002,$C155,'Movements'!$E$3:$E$1002,"In"))</f>
        <v/>
      </c>
      <c r="I155" s="16">
        <f>IF(OR($A155="",$D155=""),"",$D155-'Settings'!$B$6)</f>
        <v/>
      </c>
      <c r="J155" s="8">
        <f>IF(OR($A155="",$D155=""),"",IF($H155&gt;0,$D155+ROW()/100000,""))</f>
        <v/>
      </c>
    </row>
    <row r="156">
      <c r="A156" s="4" t="n"/>
      <c r="B156" s="8">
        <f>IF($A156="","",IFERROR(INDEX('Items'!$B$3:$B$202,MATCH($A156,'Items'!$A$3:$A$202,0)),""))</f>
        <v/>
      </c>
      <c r="C156" s="4" t="n"/>
      <c r="D156" s="5" t="n"/>
      <c r="E156" s="6" t="n"/>
      <c r="F156" s="5" t="n"/>
      <c r="G156" s="4" t="n"/>
      <c r="H156" s="16">
        <f>IF($A156="","",$E156-SUMIFS('Movements'!$F$3:$F$1002,'Movements'!$B$3:$B$1002,$A156,'Movements'!$D$3:$D$1002,$C156,'Movements'!$E$3:$E$1002,"Out")-SUMIFS('Movements'!$F$3:$F$1002,'Movements'!$B$3:$B$1002,$A156,'Movements'!$D$3:$D$1002,$C156,'Movements'!$E$3:$E$1002,"Waste")+SUMIFS('Movements'!$F$3:$F$1002,'Movements'!$B$3:$B$1002,$A156,'Movements'!$D$3:$D$1002,$C156,'Movements'!$E$3:$E$1002,"In"))</f>
        <v/>
      </c>
      <c r="I156" s="16">
        <f>IF(OR($A156="",$D156=""),"",$D156-'Settings'!$B$6)</f>
        <v/>
      </c>
      <c r="J156" s="8">
        <f>IF(OR($A156="",$D156=""),"",IF($H156&gt;0,$D156+ROW()/100000,""))</f>
        <v/>
      </c>
    </row>
    <row r="157">
      <c r="A157" s="4" t="n"/>
      <c r="B157" s="8">
        <f>IF($A157="","",IFERROR(INDEX('Items'!$B$3:$B$202,MATCH($A157,'Items'!$A$3:$A$202,0)),""))</f>
        <v/>
      </c>
      <c r="C157" s="4" t="n"/>
      <c r="D157" s="5" t="n"/>
      <c r="E157" s="6" t="n"/>
      <c r="F157" s="5" t="n"/>
      <c r="G157" s="4" t="n"/>
      <c r="H157" s="16">
        <f>IF($A157="","",$E157-SUMIFS('Movements'!$F$3:$F$1002,'Movements'!$B$3:$B$1002,$A157,'Movements'!$D$3:$D$1002,$C157,'Movements'!$E$3:$E$1002,"Out")-SUMIFS('Movements'!$F$3:$F$1002,'Movements'!$B$3:$B$1002,$A157,'Movements'!$D$3:$D$1002,$C157,'Movements'!$E$3:$E$1002,"Waste")+SUMIFS('Movements'!$F$3:$F$1002,'Movements'!$B$3:$B$1002,$A157,'Movements'!$D$3:$D$1002,$C157,'Movements'!$E$3:$E$1002,"In"))</f>
        <v/>
      </c>
      <c r="I157" s="16">
        <f>IF(OR($A157="",$D157=""),"",$D157-'Settings'!$B$6)</f>
        <v/>
      </c>
      <c r="J157" s="8">
        <f>IF(OR($A157="",$D157=""),"",IF($H157&gt;0,$D157+ROW()/100000,""))</f>
        <v/>
      </c>
    </row>
    <row r="158">
      <c r="A158" s="4" t="n"/>
      <c r="B158" s="8">
        <f>IF($A158="","",IFERROR(INDEX('Items'!$B$3:$B$202,MATCH($A158,'Items'!$A$3:$A$202,0)),""))</f>
        <v/>
      </c>
      <c r="C158" s="4" t="n"/>
      <c r="D158" s="5" t="n"/>
      <c r="E158" s="6" t="n"/>
      <c r="F158" s="5" t="n"/>
      <c r="G158" s="4" t="n"/>
      <c r="H158" s="16">
        <f>IF($A158="","",$E158-SUMIFS('Movements'!$F$3:$F$1002,'Movements'!$B$3:$B$1002,$A158,'Movements'!$D$3:$D$1002,$C158,'Movements'!$E$3:$E$1002,"Out")-SUMIFS('Movements'!$F$3:$F$1002,'Movements'!$B$3:$B$1002,$A158,'Movements'!$D$3:$D$1002,$C158,'Movements'!$E$3:$E$1002,"Waste")+SUMIFS('Movements'!$F$3:$F$1002,'Movements'!$B$3:$B$1002,$A158,'Movements'!$D$3:$D$1002,$C158,'Movements'!$E$3:$E$1002,"In"))</f>
        <v/>
      </c>
      <c r="I158" s="16">
        <f>IF(OR($A158="",$D158=""),"",$D158-'Settings'!$B$6)</f>
        <v/>
      </c>
      <c r="J158" s="8">
        <f>IF(OR($A158="",$D158=""),"",IF($H158&gt;0,$D158+ROW()/100000,""))</f>
        <v/>
      </c>
    </row>
    <row r="159">
      <c r="A159" s="4" t="n"/>
      <c r="B159" s="8">
        <f>IF($A159="","",IFERROR(INDEX('Items'!$B$3:$B$202,MATCH($A159,'Items'!$A$3:$A$202,0)),""))</f>
        <v/>
      </c>
      <c r="C159" s="4" t="n"/>
      <c r="D159" s="5" t="n"/>
      <c r="E159" s="6" t="n"/>
      <c r="F159" s="5" t="n"/>
      <c r="G159" s="4" t="n"/>
      <c r="H159" s="16">
        <f>IF($A159="","",$E159-SUMIFS('Movements'!$F$3:$F$1002,'Movements'!$B$3:$B$1002,$A159,'Movements'!$D$3:$D$1002,$C159,'Movements'!$E$3:$E$1002,"Out")-SUMIFS('Movements'!$F$3:$F$1002,'Movements'!$B$3:$B$1002,$A159,'Movements'!$D$3:$D$1002,$C159,'Movements'!$E$3:$E$1002,"Waste")+SUMIFS('Movements'!$F$3:$F$1002,'Movements'!$B$3:$B$1002,$A159,'Movements'!$D$3:$D$1002,$C159,'Movements'!$E$3:$E$1002,"In"))</f>
        <v/>
      </c>
      <c r="I159" s="16">
        <f>IF(OR($A159="",$D159=""),"",$D159-'Settings'!$B$6)</f>
        <v/>
      </c>
      <c r="J159" s="8">
        <f>IF(OR($A159="",$D159=""),"",IF($H159&gt;0,$D159+ROW()/100000,""))</f>
        <v/>
      </c>
    </row>
    <row r="160">
      <c r="A160" s="4" t="n"/>
      <c r="B160" s="8">
        <f>IF($A160="","",IFERROR(INDEX('Items'!$B$3:$B$202,MATCH($A160,'Items'!$A$3:$A$202,0)),""))</f>
        <v/>
      </c>
      <c r="C160" s="4" t="n"/>
      <c r="D160" s="5" t="n"/>
      <c r="E160" s="6" t="n"/>
      <c r="F160" s="5" t="n"/>
      <c r="G160" s="4" t="n"/>
      <c r="H160" s="16">
        <f>IF($A160="","",$E160-SUMIFS('Movements'!$F$3:$F$1002,'Movements'!$B$3:$B$1002,$A160,'Movements'!$D$3:$D$1002,$C160,'Movements'!$E$3:$E$1002,"Out")-SUMIFS('Movements'!$F$3:$F$1002,'Movements'!$B$3:$B$1002,$A160,'Movements'!$D$3:$D$1002,$C160,'Movements'!$E$3:$E$1002,"Waste")+SUMIFS('Movements'!$F$3:$F$1002,'Movements'!$B$3:$B$1002,$A160,'Movements'!$D$3:$D$1002,$C160,'Movements'!$E$3:$E$1002,"In"))</f>
        <v/>
      </c>
      <c r="I160" s="16">
        <f>IF(OR($A160="",$D160=""),"",$D160-'Settings'!$B$6)</f>
        <v/>
      </c>
      <c r="J160" s="8">
        <f>IF(OR($A160="",$D160=""),"",IF($H160&gt;0,$D160+ROW()/100000,""))</f>
        <v/>
      </c>
    </row>
    <row r="161">
      <c r="A161" s="4" t="n"/>
      <c r="B161" s="8">
        <f>IF($A161="","",IFERROR(INDEX('Items'!$B$3:$B$202,MATCH($A161,'Items'!$A$3:$A$202,0)),""))</f>
        <v/>
      </c>
      <c r="C161" s="4" t="n"/>
      <c r="D161" s="5" t="n"/>
      <c r="E161" s="6" t="n"/>
      <c r="F161" s="5" t="n"/>
      <c r="G161" s="4" t="n"/>
      <c r="H161" s="16">
        <f>IF($A161="","",$E161-SUMIFS('Movements'!$F$3:$F$1002,'Movements'!$B$3:$B$1002,$A161,'Movements'!$D$3:$D$1002,$C161,'Movements'!$E$3:$E$1002,"Out")-SUMIFS('Movements'!$F$3:$F$1002,'Movements'!$B$3:$B$1002,$A161,'Movements'!$D$3:$D$1002,$C161,'Movements'!$E$3:$E$1002,"Waste")+SUMIFS('Movements'!$F$3:$F$1002,'Movements'!$B$3:$B$1002,$A161,'Movements'!$D$3:$D$1002,$C161,'Movements'!$E$3:$E$1002,"In"))</f>
        <v/>
      </c>
      <c r="I161" s="16">
        <f>IF(OR($A161="",$D161=""),"",$D161-'Settings'!$B$6)</f>
        <v/>
      </c>
      <c r="J161" s="8">
        <f>IF(OR($A161="",$D161=""),"",IF($H161&gt;0,$D161+ROW()/100000,""))</f>
        <v/>
      </c>
    </row>
    <row r="162">
      <c r="A162" s="4" t="n"/>
      <c r="B162" s="8">
        <f>IF($A162="","",IFERROR(INDEX('Items'!$B$3:$B$202,MATCH($A162,'Items'!$A$3:$A$202,0)),""))</f>
        <v/>
      </c>
      <c r="C162" s="4" t="n"/>
      <c r="D162" s="5" t="n"/>
      <c r="E162" s="6" t="n"/>
      <c r="F162" s="5" t="n"/>
      <c r="G162" s="4" t="n"/>
      <c r="H162" s="16">
        <f>IF($A162="","",$E162-SUMIFS('Movements'!$F$3:$F$1002,'Movements'!$B$3:$B$1002,$A162,'Movements'!$D$3:$D$1002,$C162,'Movements'!$E$3:$E$1002,"Out")-SUMIFS('Movements'!$F$3:$F$1002,'Movements'!$B$3:$B$1002,$A162,'Movements'!$D$3:$D$1002,$C162,'Movements'!$E$3:$E$1002,"Waste")+SUMIFS('Movements'!$F$3:$F$1002,'Movements'!$B$3:$B$1002,$A162,'Movements'!$D$3:$D$1002,$C162,'Movements'!$E$3:$E$1002,"In"))</f>
        <v/>
      </c>
      <c r="I162" s="16">
        <f>IF(OR($A162="",$D162=""),"",$D162-'Settings'!$B$6)</f>
        <v/>
      </c>
      <c r="J162" s="8">
        <f>IF(OR($A162="",$D162=""),"",IF($H162&gt;0,$D162+ROW()/100000,""))</f>
        <v/>
      </c>
    </row>
    <row r="163">
      <c r="A163" s="4" t="n"/>
      <c r="B163" s="8">
        <f>IF($A163="","",IFERROR(INDEX('Items'!$B$3:$B$202,MATCH($A163,'Items'!$A$3:$A$202,0)),""))</f>
        <v/>
      </c>
      <c r="C163" s="4" t="n"/>
      <c r="D163" s="5" t="n"/>
      <c r="E163" s="6" t="n"/>
      <c r="F163" s="5" t="n"/>
      <c r="G163" s="4" t="n"/>
      <c r="H163" s="16">
        <f>IF($A163="","",$E163-SUMIFS('Movements'!$F$3:$F$1002,'Movements'!$B$3:$B$1002,$A163,'Movements'!$D$3:$D$1002,$C163,'Movements'!$E$3:$E$1002,"Out")-SUMIFS('Movements'!$F$3:$F$1002,'Movements'!$B$3:$B$1002,$A163,'Movements'!$D$3:$D$1002,$C163,'Movements'!$E$3:$E$1002,"Waste")+SUMIFS('Movements'!$F$3:$F$1002,'Movements'!$B$3:$B$1002,$A163,'Movements'!$D$3:$D$1002,$C163,'Movements'!$E$3:$E$1002,"In"))</f>
        <v/>
      </c>
      <c r="I163" s="16">
        <f>IF(OR($A163="",$D163=""),"",$D163-'Settings'!$B$6)</f>
        <v/>
      </c>
      <c r="J163" s="8">
        <f>IF(OR($A163="",$D163=""),"",IF($H163&gt;0,$D163+ROW()/100000,""))</f>
        <v/>
      </c>
    </row>
    <row r="164">
      <c r="A164" s="4" t="n"/>
      <c r="B164" s="8">
        <f>IF($A164="","",IFERROR(INDEX('Items'!$B$3:$B$202,MATCH($A164,'Items'!$A$3:$A$202,0)),""))</f>
        <v/>
      </c>
      <c r="C164" s="4" t="n"/>
      <c r="D164" s="5" t="n"/>
      <c r="E164" s="6" t="n"/>
      <c r="F164" s="5" t="n"/>
      <c r="G164" s="4" t="n"/>
      <c r="H164" s="16">
        <f>IF($A164="","",$E164-SUMIFS('Movements'!$F$3:$F$1002,'Movements'!$B$3:$B$1002,$A164,'Movements'!$D$3:$D$1002,$C164,'Movements'!$E$3:$E$1002,"Out")-SUMIFS('Movements'!$F$3:$F$1002,'Movements'!$B$3:$B$1002,$A164,'Movements'!$D$3:$D$1002,$C164,'Movements'!$E$3:$E$1002,"Waste")+SUMIFS('Movements'!$F$3:$F$1002,'Movements'!$B$3:$B$1002,$A164,'Movements'!$D$3:$D$1002,$C164,'Movements'!$E$3:$E$1002,"In"))</f>
        <v/>
      </c>
      <c r="I164" s="16">
        <f>IF(OR($A164="",$D164=""),"",$D164-'Settings'!$B$6)</f>
        <v/>
      </c>
      <c r="J164" s="8">
        <f>IF(OR($A164="",$D164=""),"",IF($H164&gt;0,$D164+ROW()/100000,""))</f>
        <v/>
      </c>
    </row>
    <row r="165">
      <c r="A165" s="4" t="n"/>
      <c r="B165" s="8">
        <f>IF($A165="","",IFERROR(INDEX('Items'!$B$3:$B$202,MATCH($A165,'Items'!$A$3:$A$202,0)),""))</f>
        <v/>
      </c>
      <c r="C165" s="4" t="n"/>
      <c r="D165" s="5" t="n"/>
      <c r="E165" s="6" t="n"/>
      <c r="F165" s="5" t="n"/>
      <c r="G165" s="4" t="n"/>
      <c r="H165" s="16">
        <f>IF($A165="","",$E165-SUMIFS('Movements'!$F$3:$F$1002,'Movements'!$B$3:$B$1002,$A165,'Movements'!$D$3:$D$1002,$C165,'Movements'!$E$3:$E$1002,"Out")-SUMIFS('Movements'!$F$3:$F$1002,'Movements'!$B$3:$B$1002,$A165,'Movements'!$D$3:$D$1002,$C165,'Movements'!$E$3:$E$1002,"Waste")+SUMIFS('Movements'!$F$3:$F$1002,'Movements'!$B$3:$B$1002,$A165,'Movements'!$D$3:$D$1002,$C165,'Movements'!$E$3:$E$1002,"In"))</f>
        <v/>
      </c>
      <c r="I165" s="16">
        <f>IF(OR($A165="",$D165=""),"",$D165-'Settings'!$B$6)</f>
        <v/>
      </c>
      <c r="J165" s="8">
        <f>IF(OR($A165="",$D165=""),"",IF($H165&gt;0,$D165+ROW()/100000,""))</f>
        <v/>
      </c>
    </row>
    <row r="166">
      <c r="A166" s="4" t="n"/>
      <c r="B166" s="8">
        <f>IF($A166="","",IFERROR(INDEX('Items'!$B$3:$B$202,MATCH($A166,'Items'!$A$3:$A$202,0)),""))</f>
        <v/>
      </c>
      <c r="C166" s="4" t="n"/>
      <c r="D166" s="5" t="n"/>
      <c r="E166" s="6" t="n"/>
      <c r="F166" s="5" t="n"/>
      <c r="G166" s="4" t="n"/>
      <c r="H166" s="16">
        <f>IF($A166="","",$E166-SUMIFS('Movements'!$F$3:$F$1002,'Movements'!$B$3:$B$1002,$A166,'Movements'!$D$3:$D$1002,$C166,'Movements'!$E$3:$E$1002,"Out")-SUMIFS('Movements'!$F$3:$F$1002,'Movements'!$B$3:$B$1002,$A166,'Movements'!$D$3:$D$1002,$C166,'Movements'!$E$3:$E$1002,"Waste")+SUMIFS('Movements'!$F$3:$F$1002,'Movements'!$B$3:$B$1002,$A166,'Movements'!$D$3:$D$1002,$C166,'Movements'!$E$3:$E$1002,"In"))</f>
        <v/>
      </c>
      <c r="I166" s="16">
        <f>IF(OR($A166="",$D166=""),"",$D166-'Settings'!$B$6)</f>
        <v/>
      </c>
      <c r="J166" s="8">
        <f>IF(OR($A166="",$D166=""),"",IF($H166&gt;0,$D166+ROW()/100000,""))</f>
        <v/>
      </c>
    </row>
    <row r="167">
      <c r="A167" s="4" t="n"/>
      <c r="B167" s="8">
        <f>IF($A167="","",IFERROR(INDEX('Items'!$B$3:$B$202,MATCH($A167,'Items'!$A$3:$A$202,0)),""))</f>
        <v/>
      </c>
      <c r="C167" s="4" t="n"/>
      <c r="D167" s="5" t="n"/>
      <c r="E167" s="6" t="n"/>
      <c r="F167" s="5" t="n"/>
      <c r="G167" s="4" t="n"/>
      <c r="H167" s="16">
        <f>IF($A167="","",$E167-SUMIFS('Movements'!$F$3:$F$1002,'Movements'!$B$3:$B$1002,$A167,'Movements'!$D$3:$D$1002,$C167,'Movements'!$E$3:$E$1002,"Out")-SUMIFS('Movements'!$F$3:$F$1002,'Movements'!$B$3:$B$1002,$A167,'Movements'!$D$3:$D$1002,$C167,'Movements'!$E$3:$E$1002,"Waste")+SUMIFS('Movements'!$F$3:$F$1002,'Movements'!$B$3:$B$1002,$A167,'Movements'!$D$3:$D$1002,$C167,'Movements'!$E$3:$E$1002,"In"))</f>
        <v/>
      </c>
      <c r="I167" s="16">
        <f>IF(OR($A167="",$D167=""),"",$D167-'Settings'!$B$6)</f>
        <v/>
      </c>
      <c r="J167" s="8">
        <f>IF(OR($A167="",$D167=""),"",IF($H167&gt;0,$D167+ROW()/100000,""))</f>
        <v/>
      </c>
    </row>
    <row r="168">
      <c r="A168" s="4" t="n"/>
      <c r="B168" s="8">
        <f>IF($A168="","",IFERROR(INDEX('Items'!$B$3:$B$202,MATCH($A168,'Items'!$A$3:$A$202,0)),""))</f>
        <v/>
      </c>
      <c r="C168" s="4" t="n"/>
      <c r="D168" s="5" t="n"/>
      <c r="E168" s="6" t="n"/>
      <c r="F168" s="5" t="n"/>
      <c r="G168" s="4" t="n"/>
      <c r="H168" s="16">
        <f>IF($A168="","",$E168-SUMIFS('Movements'!$F$3:$F$1002,'Movements'!$B$3:$B$1002,$A168,'Movements'!$D$3:$D$1002,$C168,'Movements'!$E$3:$E$1002,"Out")-SUMIFS('Movements'!$F$3:$F$1002,'Movements'!$B$3:$B$1002,$A168,'Movements'!$D$3:$D$1002,$C168,'Movements'!$E$3:$E$1002,"Waste")+SUMIFS('Movements'!$F$3:$F$1002,'Movements'!$B$3:$B$1002,$A168,'Movements'!$D$3:$D$1002,$C168,'Movements'!$E$3:$E$1002,"In"))</f>
        <v/>
      </c>
      <c r="I168" s="16">
        <f>IF(OR($A168="",$D168=""),"",$D168-'Settings'!$B$6)</f>
        <v/>
      </c>
      <c r="J168" s="8">
        <f>IF(OR($A168="",$D168=""),"",IF($H168&gt;0,$D168+ROW()/100000,""))</f>
        <v/>
      </c>
    </row>
    <row r="169">
      <c r="A169" s="4" t="n"/>
      <c r="B169" s="8">
        <f>IF($A169="","",IFERROR(INDEX('Items'!$B$3:$B$202,MATCH($A169,'Items'!$A$3:$A$202,0)),""))</f>
        <v/>
      </c>
      <c r="C169" s="4" t="n"/>
      <c r="D169" s="5" t="n"/>
      <c r="E169" s="6" t="n"/>
      <c r="F169" s="5" t="n"/>
      <c r="G169" s="4" t="n"/>
      <c r="H169" s="16">
        <f>IF($A169="","",$E169-SUMIFS('Movements'!$F$3:$F$1002,'Movements'!$B$3:$B$1002,$A169,'Movements'!$D$3:$D$1002,$C169,'Movements'!$E$3:$E$1002,"Out")-SUMIFS('Movements'!$F$3:$F$1002,'Movements'!$B$3:$B$1002,$A169,'Movements'!$D$3:$D$1002,$C169,'Movements'!$E$3:$E$1002,"Waste")+SUMIFS('Movements'!$F$3:$F$1002,'Movements'!$B$3:$B$1002,$A169,'Movements'!$D$3:$D$1002,$C169,'Movements'!$E$3:$E$1002,"In"))</f>
        <v/>
      </c>
      <c r="I169" s="16">
        <f>IF(OR($A169="",$D169=""),"",$D169-'Settings'!$B$6)</f>
        <v/>
      </c>
      <c r="J169" s="8">
        <f>IF(OR($A169="",$D169=""),"",IF($H169&gt;0,$D169+ROW()/100000,""))</f>
        <v/>
      </c>
    </row>
    <row r="170">
      <c r="A170" s="4" t="n"/>
      <c r="B170" s="8">
        <f>IF($A170="","",IFERROR(INDEX('Items'!$B$3:$B$202,MATCH($A170,'Items'!$A$3:$A$202,0)),""))</f>
        <v/>
      </c>
      <c r="C170" s="4" t="n"/>
      <c r="D170" s="5" t="n"/>
      <c r="E170" s="6" t="n"/>
      <c r="F170" s="5" t="n"/>
      <c r="G170" s="4" t="n"/>
      <c r="H170" s="16">
        <f>IF($A170="","",$E170-SUMIFS('Movements'!$F$3:$F$1002,'Movements'!$B$3:$B$1002,$A170,'Movements'!$D$3:$D$1002,$C170,'Movements'!$E$3:$E$1002,"Out")-SUMIFS('Movements'!$F$3:$F$1002,'Movements'!$B$3:$B$1002,$A170,'Movements'!$D$3:$D$1002,$C170,'Movements'!$E$3:$E$1002,"Waste")+SUMIFS('Movements'!$F$3:$F$1002,'Movements'!$B$3:$B$1002,$A170,'Movements'!$D$3:$D$1002,$C170,'Movements'!$E$3:$E$1002,"In"))</f>
        <v/>
      </c>
      <c r="I170" s="16">
        <f>IF(OR($A170="",$D170=""),"",$D170-'Settings'!$B$6)</f>
        <v/>
      </c>
      <c r="J170" s="8">
        <f>IF(OR($A170="",$D170=""),"",IF($H170&gt;0,$D170+ROW()/100000,""))</f>
        <v/>
      </c>
    </row>
    <row r="171">
      <c r="A171" s="4" t="n"/>
      <c r="B171" s="8">
        <f>IF($A171="","",IFERROR(INDEX('Items'!$B$3:$B$202,MATCH($A171,'Items'!$A$3:$A$202,0)),""))</f>
        <v/>
      </c>
      <c r="C171" s="4" t="n"/>
      <c r="D171" s="5" t="n"/>
      <c r="E171" s="6" t="n"/>
      <c r="F171" s="5" t="n"/>
      <c r="G171" s="4" t="n"/>
      <c r="H171" s="16">
        <f>IF($A171="","",$E171-SUMIFS('Movements'!$F$3:$F$1002,'Movements'!$B$3:$B$1002,$A171,'Movements'!$D$3:$D$1002,$C171,'Movements'!$E$3:$E$1002,"Out")-SUMIFS('Movements'!$F$3:$F$1002,'Movements'!$B$3:$B$1002,$A171,'Movements'!$D$3:$D$1002,$C171,'Movements'!$E$3:$E$1002,"Waste")+SUMIFS('Movements'!$F$3:$F$1002,'Movements'!$B$3:$B$1002,$A171,'Movements'!$D$3:$D$1002,$C171,'Movements'!$E$3:$E$1002,"In"))</f>
        <v/>
      </c>
      <c r="I171" s="16">
        <f>IF(OR($A171="",$D171=""),"",$D171-'Settings'!$B$6)</f>
        <v/>
      </c>
      <c r="J171" s="8">
        <f>IF(OR($A171="",$D171=""),"",IF($H171&gt;0,$D171+ROW()/100000,""))</f>
        <v/>
      </c>
    </row>
    <row r="172">
      <c r="A172" s="4" t="n"/>
      <c r="B172" s="8">
        <f>IF($A172="","",IFERROR(INDEX('Items'!$B$3:$B$202,MATCH($A172,'Items'!$A$3:$A$202,0)),""))</f>
        <v/>
      </c>
      <c r="C172" s="4" t="n"/>
      <c r="D172" s="5" t="n"/>
      <c r="E172" s="6" t="n"/>
      <c r="F172" s="5" t="n"/>
      <c r="G172" s="4" t="n"/>
      <c r="H172" s="16">
        <f>IF($A172="","",$E172-SUMIFS('Movements'!$F$3:$F$1002,'Movements'!$B$3:$B$1002,$A172,'Movements'!$D$3:$D$1002,$C172,'Movements'!$E$3:$E$1002,"Out")-SUMIFS('Movements'!$F$3:$F$1002,'Movements'!$B$3:$B$1002,$A172,'Movements'!$D$3:$D$1002,$C172,'Movements'!$E$3:$E$1002,"Waste")+SUMIFS('Movements'!$F$3:$F$1002,'Movements'!$B$3:$B$1002,$A172,'Movements'!$D$3:$D$1002,$C172,'Movements'!$E$3:$E$1002,"In"))</f>
        <v/>
      </c>
      <c r="I172" s="16">
        <f>IF(OR($A172="",$D172=""),"",$D172-'Settings'!$B$6)</f>
        <v/>
      </c>
      <c r="J172" s="8">
        <f>IF(OR($A172="",$D172=""),"",IF($H172&gt;0,$D172+ROW()/100000,""))</f>
        <v/>
      </c>
    </row>
    <row r="173">
      <c r="A173" s="4" t="n"/>
      <c r="B173" s="8">
        <f>IF($A173="","",IFERROR(INDEX('Items'!$B$3:$B$202,MATCH($A173,'Items'!$A$3:$A$202,0)),""))</f>
        <v/>
      </c>
      <c r="C173" s="4" t="n"/>
      <c r="D173" s="5" t="n"/>
      <c r="E173" s="6" t="n"/>
      <c r="F173" s="5" t="n"/>
      <c r="G173" s="4" t="n"/>
      <c r="H173" s="16">
        <f>IF($A173="","",$E173-SUMIFS('Movements'!$F$3:$F$1002,'Movements'!$B$3:$B$1002,$A173,'Movements'!$D$3:$D$1002,$C173,'Movements'!$E$3:$E$1002,"Out")-SUMIFS('Movements'!$F$3:$F$1002,'Movements'!$B$3:$B$1002,$A173,'Movements'!$D$3:$D$1002,$C173,'Movements'!$E$3:$E$1002,"Waste")+SUMIFS('Movements'!$F$3:$F$1002,'Movements'!$B$3:$B$1002,$A173,'Movements'!$D$3:$D$1002,$C173,'Movements'!$E$3:$E$1002,"In"))</f>
        <v/>
      </c>
      <c r="I173" s="16">
        <f>IF(OR($A173="",$D173=""),"",$D173-'Settings'!$B$6)</f>
        <v/>
      </c>
      <c r="J173" s="8">
        <f>IF(OR($A173="",$D173=""),"",IF($H173&gt;0,$D173+ROW()/100000,""))</f>
        <v/>
      </c>
    </row>
    <row r="174">
      <c r="A174" s="4" t="n"/>
      <c r="B174" s="8">
        <f>IF($A174="","",IFERROR(INDEX('Items'!$B$3:$B$202,MATCH($A174,'Items'!$A$3:$A$202,0)),""))</f>
        <v/>
      </c>
      <c r="C174" s="4" t="n"/>
      <c r="D174" s="5" t="n"/>
      <c r="E174" s="6" t="n"/>
      <c r="F174" s="5" t="n"/>
      <c r="G174" s="4" t="n"/>
      <c r="H174" s="16">
        <f>IF($A174="","",$E174-SUMIFS('Movements'!$F$3:$F$1002,'Movements'!$B$3:$B$1002,$A174,'Movements'!$D$3:$D$1002,$C174,'Movements'!$E$3:$E$1002,"Out")-SUMIFS('Movements'!$F$3:$F$1002,'Movements'!$B$3:$B$1002,$A174,'Movements'!$D$3:$D$1002,$C174,'Movements'!$E$3:$E$1002,"Waste")+SUMIFS('Movements'!$F$3:$F$1002,'Movements'!$B$3:$B$1002,$A174,'Movements'!$D$3:$D$1002,$C174,'Movements'!$E$3:$E$1002,"In"))</f>
        <v/>
      </c>
      <c r="I174" s="16">
        <f>IF(OR($A174="",$D174=""),"",$D174-'Settings'!$B$6)</f>
        <v/>
      </c>
      <c r="J174" s="8">
        <f>IF(OR($A174="",$D174=""),"",IF($H174&gt;0,$D174+ROW()/100000,""))</f>
        <v/>
      </c>
    </row>
    <row r="175">
      <c r="A175" s="4" t="n"/>
      <c r="B175" s="8">
        <f>IF($A175="","",IFERROR(INDEX('Items'!$B$3:$B$202,MATCH($A175,'Items'!$A$3:$A$202,0)),""))</f>
        <v/>
      </c>
      <c r="C175" s="4" t="n"/>
      <c r="D175" s="5" t="n"/>
      <c r="E175" s="6" t="n"/>
      <c r="F175" s="5" t="n"/>
      <c r="G175" s="4" t="n"/>
      <c r="H175" s="16">
        <f>IF($A175="","",$E175-SUMIFS('Movements'!$F$3:$F$1002,'Movements'!$B$3:$B$1002,$A175,'Movements'!$D$3:$D$1002,$C175,'Movements'!$E$3:$E$1002,"Out")-SUMIFS('Movements'!$F$3:$F$1002,'Movements'!$B$3:$B$1002,$A175,'Movements'!$D$3:$D$1002,$C175,'Movements'!$E$3:$E$1002,"Waste")+SUMIFS('Movements'!$F$3:$F$1002,'Movements'!$B$3:$B$1002,$A175,'Movements'!$D$3:$D$1002,$C175,'Movements'!$E$3:$E$1002,"In"))</f>
        <v/>
      </c>
      <c r="I175" s="16">
        <f>IF(OR($A175="",$D175=""),"",$D175-'Settings'!$B$6)</f>
        <v/>
      </c>
      <c r="J175" s="8">
        <f>IF(OR($A175="",$D175=""),"",IF($H175&gt;0,$D175+ROW()/100000,""))</f>
        <v/>
      </c>
    </row>
    <row r="176">
      <c r="A176" s="4" t="n"/>
      <c r="B176" s="8">
        <f>IF($A176="","",IFERROR(INDEX('Items'!$B$3:$B$202,MATCH($A176,'Items'!$A$3:$A$202,0)),""))</f>
        <v/>
      </c>
      <c r="C176" s="4" t="n"/>
      <c r="D176" s="5" t="n"/>
      <c r="E176" s="6" t="n"/>
      <c r="F176" s="5" t="n"/>
      <c r="G176" s="4" t="n"/>
      <c r="H176" s="16">
        <f>IF($A176="","",$E176-SUMIFS('Movements'!$F$3:$F$1002,'Movements'!$B$3:$B$1002,$A176,'Movements'!$D$3:$D$1002,$C176,'Movements'!$E$3:$E$1002,"Out")-SUMIFS('Movements'!$F$3:$F$1002,'Movements'!$B$3:$B$1002,$A176,'Movements'!$D$3:$D$1002,$C176,'Movements'!$E$3:$E$1002,"Waste")+SUMIFS('Movements'!$F$3:$F$1002,'Movements'!$B$3:$B$1002,$A176,'Movements'!$D$3:$D$1002,$C176,'Movements'!$E$3:$E$1002,"In"))</f>
        <v/>
      </c>
      <c r="I176" s="16">
        <f>IF(OR($A176="",$D176=""),"",$D176-'Settings'!$B$6)</f>
        <v/>
      </c>
      <c r="J176" s="8">
        <f>IF(OR($A176="",$D176=""),"",IF($H176&gt;0,$D176+ROW()/100000,""))</f>
        <v/>
      </c>
    </row>
    <row r="177">
      <c r="A177" s="4" t="n"/>
      <c r="B177" s="8">
        <f>IF($A177="","",IFERROR(INDEX('Items'!$B$3:$B$202,MATCH($A177,'Items'!$A$3:$A$202,0)),""))</f>
        <v/>
      </c>
      <c r="C177" s="4" t="n"/>
      <c r="D177" s="5" t="n"/>
      <c r="E177" s="6" t="n"/>
      <c r="F177" s="5" t="n"/>
      <c r="G177" s="4" t="n"/>
      <c r="H177" s="16">
        <f>IF($A177="","",$E177-SUMIFS('Movements'!$F$3:$F$1002,'Movements'!$B$3:$B$1002,$A177,'Movements'!$D$3:$D$1002,$C177,'Movements'!$E$3:$E$1002,"Out")-SUMIFS('Movements'!$F$3:$F$1002,'Movements'!$B$3:$B$1002,$A177,'Movements'!$D$3:$D$1002,$C177,'Movements'!$E$3:$E$1002,"Waste")+SUMIFS('Movements'!$F$3:$F$1002,'Movements'!$B$3:$B$1002,$A177,'Movements'!$D$3:$D$1002,$C177,'Movements'!$E$3:$E$1002,"In"))</f>
        <v/>
      </c>
      <c r="I177" s="16">
        <f>IF(OR($A177="",$D177=""),"",$D177-'Settings'!$B$6)</f>
        <v/>
      </c>
      <c r="J177" s="8">
        <f>IF(OR($A177="",$D177=""),"",IF($H177&gt;0,$D177+ROW()/100000,""))</f>
        <v/>
      </c>
    </row>
    <row r="178">
      <c r="A178" s="4" t="n"/>
      <c r="B178" s="8">
        <f>IF($A178="","",IFERROR(INDEX('Items'!$B$3:$B$202,MATCH($A178,'Items'!$A$3:$A$202,0)),""))</f>
        <v/>
      </c>
      <c r="C178" s="4" t="n"/>
      <c r="D178" s="5" t="n"/>
      <c r="E178" s="6" t="n"/>
      <c r="F178" s="5" t="n"/>
      <c r="G178" s="4" t="n"/>
      <c r="H178" s="16">
        <f>IF($A178="","",$E178-SUMIFS('Movements'!$F$3:$F$1002,'Movements'!$B$3:$B$1002,$A178,'Movements'!$D$3:$D$1002,$C178,'Movements'!$E$3:$E$1002,"Out")-SUMIFS('Movements'!$F$3:$F$1002,'Movements'!$B$3:$B$1002,$A178,'Movements'!$D$3:$D$1002,$C178,'Movements'!$E$3:$E$1002,"Waste")+SUMIFS('Movements'!$F$3:$F$1002,'Movements'!$B$3:$B$1002,$A178,'Movements'!$D$3:$D$1002,$C178,'Movements'!$E$3:$E$1002,"In"))</f>
        <v/>
      </c>
      <c r="I178" s="16">
        <f>IF(OR($A178="",$D178=""),"",$D178-'Settings'!$B$6)</f>
        <v/>
      </c>
      <c r="J178" s="8">
        <f>IF(OR($A178="",$D178=""),"",IF($H178&gt;0,$D178+ROW()/100000,""))</f>
        <v/>
      </c>
    </row>
    <row r="179">
      <c r="A179" s="4" t="n"/>
      <c r="B179" s="8">
        <f>IF($A179="","",IFERROR(INDEX('Items'!$B$3:$B$202,MATCH($A179,'Items'!$A$3:$A$202,0)),""))</f>
        <v/>
      </c>
      <c r="C179" s="4" t="n"/>
      <c r="D179" s="5" t="n"/>
      <c r="E179" s="6" t="n"/>
      <c r="F179" s="5" t="n"/>
      <c r="G179" s="4" t="n"/>
      <c r="H179" s="16">
        <f>IF($A179="","",$E179-SUMIFS('Movements'!$F$3:$F$1002,'Movements'!$B$3:$B$1002,$A179,'Movements'!$D$3:$D$1002,$C179,'Movements'!$E$3:$E$1002,"Out")-SUMIFS('Movements'!$F$3:$F$1002,'Movements'!$B$3:$B$1002,$A179,'Movements'!$D$3:$D$1002,$C179,'Movements'!$E$3:$E$1002,"Waste")+SUMIFS('Movements'!$F$3:$F$1002,'Movements'!$B$3:$B$1002,$A179,'Movements'!$D$3:$D$1002,$C179,'Movements'!$E$3:$E$1002,"In"))</f>
        <v/>
      </c>
      <c r="I179" s="16">
        <f>IF(OR($A179="",$D179=""),"",$D179-'Settings'!$B$6)</f>
        <v/>
      </c>
      <c r="J179" s="8">
        <f>IF(OR($A179="",$D179=""),"",IF($H179&gt;0,$D179+ROW()/100000,""))</f>
        <v/>
      </c>
    </row>
    <row r="180">
      <c r="A180" s="4" t="n"/>
      <c r="B180" s="8">
        <f>IF($A180="","",IFERROR(INDEX('Items'!$B$3:$B$202,MATCH($A180,'Items'!$A$3:$A$202,0)),""))</f>
        <v/>
      </c>
      <c r="C180" s="4" t="n"/>
      <c r="D180" s="5" t="n"/>
      <c r="E180" s="6" t="n"/>
      <c r="F180" s="5" t="n"/>
      <c r="G180" s="4" t="n"/>
      <c r="H180" s="16">
        <f>IF($A180="","",$E180-SUMIFS('Movements'!$F$3:$F$1002,'Movements'!$B$3:$B$1002,$A180,'Movements'!$D$3:$D$1002,$C180,'Movements'!$E$3:$E$1002,"Out")-SUMIFS('Movements'!$F$3:$F$1002,'Movements'!$B$3:$B$1002,$A180,'Movements'!$D$3:$D$1002,$C180,'Movements'!$E$3:$E$1002,"Waste")+SUMIFS('Movements'!$F$3:$F$1002,'Movements'!$B$3:$B$1002,$A180,'Movements'!$D$3:$D$1002,$C180,'Movements'!$E$3:$E$1002,"In"))</f>
        <v/>
      </c>
      <c r="I180" s="16">
        <f>IF(OR($A180="",$D180=""),"",$D180-'Settings'!$B$6)</f>
        <v/>
      </c>
      <c r="J180" s="8">
        <f>IF(OR($A180="",$D180=""),"",IF($H180&gt;0,$D180+ROW()/100000,""))</f>
        <v/>
      </c>
    </row>
    <row r="181">
      <c r="A181" s="4" t="n"/>
      <c r="B181" s="8">
        <f>IF($A181="","",IFERROR(INDEX('Items'!$B$3:$B$202,MATCH($A181,'Items'!$A$3:$A$202,0)),""))</f>
        <v/>
      </c>
      <c r="C181" s="4" t="n"/>
      <c r="D181" s="5" t="n"/>
      <c r="E181" s="6" t="n"/>
      <c r="F181" s="5" t="n"/>
      <c r="G181" s="4" t="n"/>
      <c r="H181" s="16">
        <f>IF($A181="","",$E181-SUMIFS('Movements'!$F$3:$F$1002,'Movements'!$B$3:$B$1002,$A181,'Movements'!$D$3:$D$1002,$C181,'Movements'!$E$3:$E$1002,"Out")-SUMIFS('Movements'!$F$3:$F$1002,'Movements'!$B$3:$B$1002,$A181,'Movements'!$D$3:$D$1002,$C181,'Movements'!$E$3:$E$1002,"Waste")+SUMIFS('Movements'!$F$3:$F$1002,'Movements'!$B$3:$B$1002,$A181,'Movements'!$D$3:$D$1002,$C181,'Movements'!$E$3:$E$1002,"In"))</f>
        <v/>
      </c>
      <c r="I181" s="16">
        <f>IF(OR($A181="",$D181=""),"",$D181-'Settings'!$B$6)</f>
        <v/>
      </c>
      <c r="J181" s="8">
        <f>IF(OR($A181="",$D181=""),"",IF($H181&gt;0,$D181+ROW()/100000,""))</f>
        <v/>
      </c>
    </row>
    <row r="182">
      <c r="A182" s="4" t="n"/>
      <c r="B182" s="8">
        <f>IF($A182="","",IFERROR(INDEX('Items'!$B$3:$B$202,MATCH($A182,'Items'!$A$3:$A$202,0)),""))</f>
        <v/>
      </c>
      <c r="C182" s="4" t="n"/>
      <c r="D182" s="5" t="n"/>
      <c r="E182" s="6" t="n"/>
      <c r="F182" s="5" t="n"/>
      <c r="G182" s="4" t="n"/>
      <c r="H182" s="16">
        <f>IF($A182="","",$E182-SUMIFS('Movements'!$F$3:$F$1002,'Movements'!$B$3:$B$1002,$A182,'Movements'!$D$3:$D$1002,$C182,'Movements'!$E$3:$E$1002,"Out")-SUMIFS('Movements'!$F$3:$F$1002,'Movements'!$B$3:$B$1002,$A182,'Movements'!$D$3:$D$1002,$C182,'Movements'!$E$3:$E$1002,"Waste")+SUMIFS('Movements'!$F$3:$F$1002,'Movements'!$B$3:$B$1002,$A182,'Movements'!$D$3:$D$1002,$C182,'Movements'!$E$3:$E$1002,"In"))</f>
        <v/>
      </c>
      <c r="I182" s="16">
        <f>IF(OR($A182="",$D182=""),"",$D182-'Settings'!$B$6)</f>
        <v/>
      </c>
      <c r="J182" s="8">
        <f>IF(OR($A182="",$D182=""),"",IF($H182&gt;0,$D182+ROW()/100000,""))</f>
        <v/>
      </c>
    </row>
    <row r="183">
      <c r="A183" s="4" t="n"/>
      <c r="B183" s="8">
        <f>IF($A183="","",IFERROR(INDEX('Items'!$B$3:$B$202,MATCH($A183,'Items'!$A$3:$A$202,0)),""))</f>
        <v/>
      </c>
      <c r="C183" s="4" t="n"/>
      <c r="D183" s="5" t="n"/>
      <c r="E183" s="6" t="n"/>
      <c r="F183" s="5" t="n"/>
      <c r="G183" s="4" t="n"/>
      <c r="H183" s="16">
        <f>IF($A183="","",$E183-SUMIFS('Movements'!$F$3:$F$1002,'Movements'!$B$3:$B$1002,$A183,'Movements'!$D$3:$D$1002,$C183,'Movements'!$E$3:$E$1002,"Out")-SUMIFS('Movements'!$F$3:$F$1002,'Movements'!$B$3:$B$1002,$A183,'Movements'!$D$3:$D$1002,$C183,'Movements'!$E$3:$E$1002,"Waste")+SUMIFS('Movements'!$F$3:$F$1002,'Movements'!$B$3:$B$1002,$A183,'Movements'!$D$3:$D$1002,$C183,'Movements'!$E$3:$E$1002,"In"))</f>
        <v/>
      </c>
      <c r="I183" s="16">
        <f>IF(OR($A183="",$D183=""),"",$D183-'Settings'!$B$6)</f>
        <v/>
      </c>
      <c r="J183" s="8">
        <f>IF(OR($A183="",$D183=""),"",IF($H183&gt;0,$D183+ROW()/100000,""))</f>
        <v/>
      </c>
    </row>
    <row r="184">
      <c r="A184" s="4" t="n"/>
      <c r="B184" s="8">
        <f>IF($A184="","",IFERROR(INDEX('Items'!$B$3:$B$202,MATCH($A184,'Items'!$A$3:$A$202,0)),""))</f>
        <v/>
      </c>
      <c r="C184" s="4" t="n"/>
      <c r="D184" s="5" t="n"/>
      <c r="E184" s="6" t="n"/>
      <c r="F184" s="5" t="n"/>
      <c r="G184" s="4" t="n"/>
      <c r="H184" s="16">
        <f>IF($A184="","",$E184-SUMIFS('Movements'!$F$3:$F$1002,'Movements'!$B$3:$B$1002,$A184,'Movements'!$D$3:$D$1002,$C184,'Movements'!$E$3:$E$1002,"Out")-SUMIFS('Movements'!$F$3:$F$1002,'Movements'!$B$3:$B$1002,$A184,'Movements'!$D$3:$D$1002,$C184,'Movements'!$E$3:$E$1002,"Waste")+SUMIFS('Movements'!$F$3:$F$1002,'Movements'!$B$3:$B$1002,$A184,'Movements'!$D$3:$D$1002,$C184,'Movements'!$E$3:$E$1002,"In"))</f>
        <v/>
      </c>
      <c r="I184" s="16">
        <f>IF(OR($A184="",$D184=""),"",$D184-'Settings'!$B$6)</f>
        <v/>
      </c>
      <c r="J184" s="8">
        <f>IF(OR($A184="",$D184=""),"",IF($H184&gt;0,$D184+ROW()/100000,""))</f>
        <v/>
      </c>
    </row>
    <row r="185">
      <c r="A185" s="4" t="n"/>
      <c r="B185" s="8">
        <f>IF($A185="","",IFERROR(INDEX('Items'!$B$3:$B$202,MATCH($A185,'Items'!$A$3:$A$202,0)),""))</f>
        <v/>
      </c>
      <c r="C185" s="4" t="n"/>
      <c r="D185" s="5" t="n"/>
      <c r="E185" s="6" t="n"/>
      <c r="F185" s="5" t="n"/>
      <c r="G185" s="4" t="n"/>
      <c r="H185" s="16">
        <f>IF($A185="","",$E185-SUMIFS('Movements'!$F$3:$F$1002,'Movements'!$B$3:$B$1002,$A185,'Movements'!$D$3:$D$1002,$C185,'Movements'!$E$3:$E$1002,"Out")-SUMIFS('Movements'!$F$3:$F$1002,'Movements'!$B$3:$B$1002,$A185,'Movements'!$D$3:$D$1002,$C185,'Movements'!$E$3:$E$1002,"Waste")+SUMIFS('Movements'!$F$3:$F$1002,'Movements'!$B$3:$B$1002,$A185,'Movements'!$D$3:$D$1002,$C185,'Movements'!$E$3:$E$1002,"In"))</f>
        <v/>
      </c>
      <c r="I185" s="16">
        <f>IF(OR($A185="",$D185=""),"",$D185-'Settings'!$B$6)</f>
        <v/>
      </c>
      <c r="J185" s="8">
        <f>IF(OR($A185="",$D185=""),"",IF($H185&gt;0,$D185+ROW()/100000,""))</f>
        <v/>
      </c>
    </row>
    <row r="186">
      <c r="A186" s="4" t="n"/>
      <c r="B186" s="8">
        <f>IF($A186="","",IFERROR(INDEX('Items'!$B$3:$B$202,MATCH($A186,'Items'!$A$3:$A$202,0)),""))</f>
        <v/>
      </c>
      <c r="C186" s="4" t="n"/>
      <c r="D186" s="5" t="n"/>
      <c r="E186" s="6" t="n"/>
      <c r="F186" s="5" t="n"/>
      <c r="G186" s="4" t="n"/>
      <c r="H186" s="16">
        <f>IF($A186="","",$E186-SUMIFS('Movements'!$F$3:$F$1002,'Movements'!$B$3:$B$1002,$A186,'Movements'!$D$3:$D$1002,$C186,'Movements'!$E$3:$E$1002,"Out")-SUMIFS('Movements'!$F$3:$F$1002,'Movements'!$B$3:$B$1002,$A186,'Movements'!$D$3:$D$1002,$C186,'Movements'!$E$3:$E$1002,"Waste")+SUMIFS('Movements'!$F$3:$F$1002,'Movements'!$B$3:$B$1002,$A186,'Movements'!$D$3:$D$1002,$C186,'Movements'!$E$3:$E$1002,"In"))</f>
        <v/>
      </c>
      <c r="I186" s="16">
        <f>IF(OR($A186="",$D186=""),"",$D186-'Settings'!$B$6)</f>
        <v/>
      </c>
      <c r="J186" s="8">
        <f>IF(OR($A186="",$D186=""),"",IF($H186&gt;0,$D186+ROW()/100000,""))</f>
        <v/>
      </c>
    </row>
    <row r="187">
      <c r="A187" s="4" t="n"/>
      <c r="B187" s="8">
        <f>IF($A187="","",IFERROR(INDEX('Items'!$B$3:$B$202,MATCH($A187,'Items'!$A$3:$A$202,0)),""))</f>
        <v/>
      </c>
      <c r="C187" s="4" t="n"/>
      <c r="D187" s="5" t="n"/>
      <c r="E187" s="6" t="n"/>
      <c r="F187" s="5" t="n"/>
      <c r="G187" s="4" t="n"/>
      <c r="H187" s="16">
        <f>IF($A187="","",$E187-SUMIFS('Movements'!$F$3:$F$1002,'Movements'!$B$3:$B$1002,$A187,'Movements'!$D$3:$D$1002,$C187,'Movements'!$E$3:$E$1002,"Out")-SUMIFS('Movements'!$F$3:$F$1002,'Movements'!$B$3:$B$1002,$A187,'Movements'!$D$3:$D$1002,$C187,'Movements'!$E$3:$E$1002,"Waste")+SUMIFS('Movements'!$F$3:$F$1002,'Movements'!$B$3:$B$1002,$A187,'Movements'!$D$3:$D$1002,$C187,'Movements'!$E$3:$E$1002,"In"))</f>
        <v/>
      </c>
      <c r="I187" s="16">
        <f>IF(OR($A187="",$D187=""),"",$D187-'Settings'!$B$6)</f>
        <v/>
      </c>
      <c r="J187" s="8">
        <f>IF(OR($A187="",$D187=""),"",IF($H187&gt;0,$D187+ROW()/100000,""))</f>
        <v/>
      </c>
    </row>
    <row r="188">
      <c r="A188" s="4" t="n"/>
      <c r="B188" s="8">
        <f>IF($A188="","",IFERROR(INDEX('Items'!$B$3:$B$202,MATCH($A188,'Items'!$A$3:$A$202,0)),""))</f>
        <v/>
      </c>
      <c r="C188" s="4" t="n"/>
      <c r="D188" s="5" t="n"/>
      <c r="E188" s="6" t="n"/>
      <c r="F188" s="5" t="n"/>
      <c r="G188" s="4" t="n"/>
      <c r="H188" s="16">
        <f>IF($A188="","",$E188-SUMIFS('Movements'!$F$3:$F$1002,'Movements'!$B$3:$B$1002,$A188,'Movements'!$D$3:$D$1002,$C188,'Movements'!$E$3:$E$1002,"Out")-SUMIFS('Movements'!$F$3:$F$1002,'Movements'!$B$3:$B$1002,$A188,'Movements'!$D$3:$D$1002,$C188,'Movements'!$E$3:$E$1002,"Waste")+SUMIFS('Movements'!$F$3:$F$1002,'Movements'!$B$3:$B$1002,$A188,'Movements'!$D$3:$D$1002,$C188,'Movements'!$E$3:$E$1002,"In"))</f>
        <v/>
      </c>
      <c r="I188" s="16">
        <f>IF(OR($A188="",$D188=""),"",$D188-'Settings'!$B$6)</f>
        <v/>
      </c>
      <c r="J188" s="8">
        <f>IF(OR($A188="",$D188=""),"",IF($H188&gt;0,$D188+ROW()/100000,""))</f>
        <v/>
      </c>
    </row>
    <row r="189">
      <c r="A189" s="4" t="n"/>
      <c r="B189" s="8">
        <f>IF($A189="","",IFERROR(INDEX('Items'!$B$3:$B$202,MATCH($A189,'Items'!$A$3:$A$202,0)),""))</f>
        <v/>
      </c>
      <c r="C189" s="4" t="n"/>
      <c r="D189" s="5" t="n"/>
      <c r="E189" s="6" t="n"/>
      <c r="F189" s="5" t="n"/>
      <c r="G189" s="4" t="n"/>
      <c r="H189" s="16">
        <f>IF($A189="","",$E189-SUMIFS('Movements'!$F$3:$F$1002,'Movements'!$B$3:$B$1002,$A189,'Movements'!$D$3:$D$1002,$C189,'Movements'!$E$3:$E$1002,"Out")-SUMIFS('Movements'!$F$3:$F$1002,'Movements'!$B$3:$B$1002,$A189,'Movements'!$D$3:$D$1002,$C189,'Movements'!$E$3:$E$1002,"Waste")+SUMIFS('Movements'!$F$3:$F$1002,'Movements'!$B$3:$B$1002,$A189,'Movements'!$D$3:$D$1002,$C189,'Movements'!$E$3:$E$1002,"In"))</f>
        <v/>
      </c>
      <c r="I189" s="16">
        <f>IF(OR($A189="",$D189=""),"",$D189-'Settings'!$B$6)</f>
        <v/>
      </c>
      <c r="J189" s="8">
        <f>IF(OR($A189="",$D189=""),"",IF($H189&gt;0,$D189+ROW()/100000,""))</f>
        <v/>
      </c>
    </row>
    <row r="190">
      <c r="A190" s="4" t="n"/>
      <c r="B190" s="8">
        <f>IF($A190="","",IFERROR(INDEX('Items'!$B$3:$B$202,MATCH($A190,'Items'!$A$3:$A$202,0)),""))</f>
        <v/>
      </c>
      <c r="C190" s="4" t="n"/>
      <c r="D190" s="5" t="n"/>
      <c r="E190" s="6" t="n"/>
      <c r="F190" s="5" t="n"/>
      <c r="G190" s="4" t="n"/>
      <c r="H190" s="16">
        <f>IF($A190="","",$E190-SUMIFS('Movements'!$F$3:$F$1002,'Movements'!$B$3:$B$1002,$A190,'Movements'!$D$3:$D$1002,$C190,'Movements'!$E$3:$E$1002,"Out")-SUMIFS('Movements'!$F$3:$F$1002,'Movements'!$B$3:$B$1002,$A190,'Movements'!$D$3:$D$1002,$C190,'Movements'!$E$3:$E$1002,"Waste")+SUMIFS('Movements'!$F$3:$F$1002,'Movements'!$B$3:$B$1002,$A190,'Movements'!$D$3:$D$1002,$C190,'Movements'!$E$3:$E$1002,"In"))</f>
        <v/>
      </c>
      <c r="I190" s="16">
        <f>IF(OR($A190="",$D190=""),"",$D190-'Settings'!$B$6)</f>
        <v/>
      </c>
      <c r="J190" s="8">
        <f>IF(OR($A190="",$D190=""),"",IF($H190&gt;0,$D190+ROW()/100000,""))</f>
        <v/>
      </c>
    </row>
    <row r="191">
      <c r="A191" s="4" t="n"/>
      <c r="B191" s="8">
        <f>IF($A191="","",IFERROR(INDEX('Items'!$B$3:$B$202,MATCH($A191,'Items'!$A$3:$A$202,0)),""))</f>
        <v/>
      </c>
      <c r="C191" s="4" t="n"/>
      <c r="D191" s="5" t="n"/>
      <c r="E191" s="6" t="n"/>
      <c r="F191" s="5" t="n"/>
      <c r="G191" s="4" t="n"/>
      <c r="H191" s="16">
        <f>IF($A191="","",$E191-SUMIFS('Movements'!$F$3:$F$1002,'Movements'!$B$3:$B$1002,$A191,'Movements'!$D$3:$D$1002,$C191,'Movements'!$E$3:$E$1002,"Out")-SUMIFS('Movements'!$F$3:$F$1002,'Movements'!$B$3:$B$1002,$A191,'Movements'!$D$3:$D$1002,$C191,'Movements'!$E$3:$E$1002,"Waste")+SUMIFS('Movements'!$F$3:$F$1002,'Movements'!$B$3:$B$1002,$A191,'Movements'!$D$3:$D$1002,$C191,'Movements'!$E$3:$E$1002,"In"))</f>
        <v/>
      </c>
      <c r="I191" s="16">
        <f>IF(OR($A191="",$D191=""),"",$D191-'Settings'!$B$6)</f>
        <v/>
      </c>
      <c r="J191" s="8">
        <f>IF(OR($A191="",$D191=""),"",IF($H191&gt;0,$D191+ROW()/100000,""))</f>
        <v/>
      </c>
    </row>
    <row r="192">
      <c r="A192" s="4" t="n"/>
      <c r="B192" s="8">
        <f>IF($A192="","",IFERROR(INDEX('Items'!$B$3:$B$202,MATCH($A192,'Items'!$A$3:$A$202,0)),""))</f>
        <v/>
      </c>
      <c r="C192" s="4" t="n"/>
      <c r="D192" s="5" t="n"/>
      <c r="E192" s="6" t="n"/>
      <c r="F192" s="5" t="n"/>
      <c r="G192" s="4" t="n"/>
      <c r="H192" s="16">
        <f>IF($A192="","",$E192-SUMIFS('Movements'!$F$3:$F$1002,'Movements'!$B$3:$B$1002,$A192,'Movements'!$D$3:$D$1002,$C192,'Movements'!$E$3:$E$1002,"Out")-SUMIFS('Movements'!$F$3:$F$1002,'Movements'!$B$3:$B$1002,$A192,'Movements'!$D$3:$D$1002,$C192,'Movements'!$E$3:$E$1002,"Waste")+SUMIFS('Movements'!$F$3:$F$1002,'Movements'!$B$3:$B$1002,$A192,'Movements'!$D$3:$D$1002,$C192,'Movements'!$E$3:$E$1002,"In"))</f>
        <v/>
      </c>
      <c r="I192" s="16">
        <f>IF(OR($A192="",$D192=""),"",$D192-'Settings'!$B$6)</f>
        <v/>
      </c>
      <c r="J192" s="8">
        <f>IF(OR($A192="",$D192=""),"",IF($H192&gt;0,$D192+ROW()/100000,""))</f>
        <v/>
      </c>
    </row>
    <row r="193">
      <c r="A193" s="4" t="n"/>
      <c r="B193" s="8">
        <f>IF($A193="","",IFERROR(INDEX('Items'!$B$3:$B$202,MATCH($A193,'Items'!$A$3:$A$202,0)),""))</f>
        <v/>
      </c>
      <c r="C193" s="4" t="n"/>
      <c r="D193" s="5" t="n"/>
      <c r="E193" s="6" t="n"/>
      <c r="F193" s="5" t="n"/>
      <c r="G193" s="4" t="n"/>
      <c r="H193" s="16">
        <f>IF($A193="","",$E193-SUMIFS('Movements'!$F$3:$F$1002,'Movements'!$B$3:$B$1002,$A193,'Movements'!$D$3:$D$1002,$C193,'Movements'!$E$3:$E$1002,"Out")-SUMIFS('Movements'!$F$3:$F$1002,'Movements'!$B$3:$B$1002,$A193,'Movements'!$D$3:$D$1002,$C193,'Movements'!$E$3:$E$1002,"Waste")+SUMIFS('Movements'!$F$3:$F$1002,'Movements'!$B$3:$B$1002,$A193,'Movements'!$D$3:$D$1002,$C193,'Movements'!$E$3:$E$1002,"In"))</f>
        <v/>
      </c>
      <c r="I193" s="16">
        <f>IF(OR($A193="",$D193=""),"",$D193-'Settings'!$B$6)</f>
        <v/>
      </c>
      <c r="J193" s="8">
        <f>IF(OR($A193="",$D193=""),"",IF($H193&gt;0,$D193+ROW()/100000,""))</f>
        <v/>
      </c>
    </row>
    <row r="194">
      <c r="A194" s="4" t="n"/>
      <c r="B194" s="8">
        <f>IF($A194="","",IFERROR(INDEX('Items'!$B$3:$B$202,MATCH($A194,'Items'!$A$3:$A$202,0)),""))</f>
        <v/>
      </c>
      <c r="C194" s="4" t="n"/>
      <c r="D194" s="5" t="n"/>
      <c r="E194" s="6" t="n"/>
      <c r="F194" s="5" t="n"/>
      <c r="G194" s="4" t="n"/>
      <c r="H194" s="16">
        <f>IF($A194="","",$E194-SUMIFS('Movements'!$F$3:$F$1002,'Movements'!$B$3:$B$1002,$A194,'Movements'!$D$3:$D$1002,$C194,'Movements'!$E$3:$E$1002,"Out")-SUMIFS('Movements'!$F$3:$F$1002,'Movements'!$B$3:$B$1002,$A194,'Movements'!$D$3:$D$1002,$C194,'Movements'!$E$3:$E$1002,"Waste")+SUMIFS('Movements'!$F$3:$F$1002,'Movements'!$B$3:$B$1002,$A194,'Movements'!$D$3:$D$1002,$C194,'Movements'!$E$3:$E$1002,"In"))</f>
        <v/>
      </c>
      <c r="I194" s="16">
        <f>IF(OR($A194="",$D194=""),"",$D194-'Settings'!$B$6)</f>
        <v/>
      </c>
      <c r="J194" s="8">
        <f>IF(OR($A194="",$D194=""),"",IF($H194&gt;0,$D194+ROW()/100000,""))</f>
        <v/>
      </c>
    </row>
    <row r="195">
      <c r="A195" s="4" t="n"/>
      <c r="B195" s="8">
        <f>IF($A195="","",IFERROR(INDEX('Items'!$B$3:$B$202,MATCH($A195,'Items'!$A$3:$A$202,0)),""))</f>
        <v/>
      </c>
      <c r="C195" s="4" t="n"/>
      <c r="D195" s="5" t="n"/>
      <c r="E195" s="6" t="n"/>
      <c r="F195" s="5" t="n"/>
      <c r="G195" s="4" t="n"/>
      <c r="H195" s="16">
        <f>IF($A195="","",$E195-SUMIFS('Movements'!$F$3:$F$1002,'Movements'!$B$3:$B$1002,$A195,'Movements'!$D$3:$D$1002,$C195,'Movements'!$E$3:$E$1002,"Out")-SUMIFS('Movements'!$F$3:$F$1002,'Movements'!$B$3:$B$1002,$A195,'Movements'!$D$3:$D$1002,$C195,'Movements'!$E$3:$E$1002,"Waste")+SUMIFS('Movements'!$F$3:$F$1002,'Movements'!$B$3:$B$1002,$A195,'Movements'!$D$3:$D$1002,$C195,'Movements'!$E$3:$E$1002,"In"))</f>
        <v/>
      </c>
      <c r="I195" s="16">
        <f>IF(OR($A195="",$D195=""),"",$D195-'Settings'!$B$6)</f>
        <v/>
      </c>
      <c r="J195" s="8">
        <f>IF(OR($A195="",$D195=""),"",IF($H195&gt;0,$D195+ROW()/100000,""))</f>
        <v/>
      </c>
    </row>
    <row r="196">
      <c r="A196" s="4" t="n"/>
      <c r="B196" s="8">
        <f>IF($A196="","",IFERROR(INDEX('Items'!$B$3:$B$202,MATCH($A196,'Items'!$A$3:$A$202,0)),""))</f>
        <v/>
      </c>
      <c r="C196" s="4" t="n"/>
      <c r="D196" s="5" t="n"/>
      <c r="E196" s="6" t="n"/>
      <c r="F196" s="5" t="n"/>
      <c r="G196" s="4" t="n"/>
      <c r="H196" s="16">
        <f>IF($A196="","",$E196-SUMIFS('Movements'!$F$3:$F$1002,'Movements'!$B$3:$B$1002,$A196,'Movements'!$D$3:$D$1002,$C196,'Movements'!$E$3:$E$1002,"Out")-SUMIFS('Movements'!$F$3:$F$1002,'Movements'!$B$3:$B$1002,$A196,'Movements'!$D$3:$D$1002,$C196,'Movements'!$E$3:$E$1002,"Waste")+SUMIFS('Movements'!$F$3:$F$1002,'Movements'!$B$3:$B$1002,$A196,'Movements'!$D$3:$D$1002,$C196,'Movements'!$E$3:$E$1002,"In"))</f>
        <v/>
      </c>
      <c r="I196" s="16">
        <f>IF(OR($A196="",$D196=""),"",$D196-'Settings'!$B$6)</f>
        <v/>
      </c>
      <c r="J196" s="8">
        <f>IF(OR($A196="",$D196=""),"",IF($H196&gt;0,$D196+ROW()/100000,""))</f>
        <v/>
      </c>
    </row>
    <row r="197">
      <c r="A197" s="4" t="n"/>
      <c r="B197" s="8">
        <f>IF($A197="","",IFERROR(INDEX('Items'!$B$3:$B$202,MATCH($A197,'Items'!$A$3:$A$202,0)),""))</f>
        <v/>
      </c>
      <c r="C197" s="4" t="n"/>
      <c r="D197" s="5" t="n"/>
      <c r="E197" s="6" t="n"/>
      <c r="F197" s="5" t="n"/>
      <c r="G197" s="4" t="n"/>
      <c r="H197" s="16">
        <f>IF($A197="","",$E197-SUMIFS('Movements'!$F$3:$F$1002,'Movements'!$B$3:$B$1002,$A197,'Movements'!$D$3:$D$1002,$C197,'Movements'!$E$3:$E$1002,"Out")-SUMIFS('Movements'!$F$3:$F$1002,'Movements'!$B$3:$B$1002,$A197,'Movements'!$D$3:$D$1002,$C197,'Movements'!$E$3:$E$1002,"Waste")+SUMIFS('Movements'!$F$3:$F$1002,'Movements'!$B$3:$B$1002,$A197,'Movements'!$D$3:$D$1002,$C197,'Movements'!$E$3:$E$1002,"In"))</f>
        <v/>
      </c>
      <c r="I197" s="16">
        <f>IF(OR($A197="",$D197=""),"",$D197-'Settings'!$B$6)</f>
        <v/>
      </c>
      <c r="J197" s="8">
        <f>IF(OR($A197="",$D197=""),"",IF($H197&gt;0,$D197+ROW()/100000,""))</f>
        <v/>
      </c>
    </row>
    <row r="198">
      <c r="A198" s="4" t="n"/>
      <c r="B198" s="8">
        <f>IF($A198="","",IFERROR(INDEX('Items'!$B$3:$B$202,MATCH($A198,'Items'!$A$3:$A$202,0)),""))</f>
        <v/>
      </c>
      <c r="C198" s="4" t="n"/>
      <c r="D198" s="5" t="n"/>
      <c r="E198" s="6" t="n"/>
      <c r="F198" s="5" t="n"/>
      <c r="G198" s="4" t="n"/>
      <c r="H198" s="16">
        <f>IF($A198="","",$E198-SUMIFS('Movements'!$F$3:$F$1002,'Movements'!$B$3:$B$1002,$A198,'Movements'!$D$3:$D$1002,$C198,'Movements'!$E$3:$E$1002,"Out")-SUMIFS('Movements'!$F$3:$F$1002,'Movements'!$B$3:$B$1002,$A198,'Movements'!$D$3:$D$1002,$C198,'Movements'!$E$3:$E$1002,"Waste")+SUMIFS('Movements'!$F$3:$F$1002,'Movements'!$B$3:$B$1002,$A198,'Movements'!$D$3:$D$1002,$C198,'Movements'!$E$3:$E$1002,"In"))</f>
        <v/>
      </c>
      <c r="I198" s="16">
        <f>IF(OR($A198="",$D198=""),"",$D198-'Settings'!$B$6)</f>
        <v/>
      </c>
      <c r="J198" s="8">
        <f>IF(OR($A198="",$D198=""),"",IF($H198&gt;0,$D198+ROW()/100000,""))</f>
        <v/>
      </c>
    </row>
    <row r="199">
      <c r="A199" s="4" t="n"/>
      <c r="B199" s="8">
        <f>IF($A199="","",IFERROR(INDEX('Items'!$B$3:$B$202,MATCH($A199,'Items'!$A$3:$A$202,0)),""))</f>
        <v/>
      </c>
      <c r="C199" s="4" t="n"/>
      <c r="D199" s="5" t="n"/>
      <c r="E199" s="6" t="n"/>
      <c r="F199" s="5" t="n"/>
      <c r="G199" s="4" t="n"/>
      <c r="H199" s="16">
        <f>IF($A199="","",$E199-SUMIFS('Movements'!$F$3:$F$1002,'Movements'!$B$3:$B$1002,$A199,'Movements'!$D$3:$D$1002,$C199,'Movements'!$E$3:$E$1002,"Out")-SUMIFS('Movements'!$F$3:$F$1002,'Movements'!$B$3:$B$1002,$A199,'Movements'!$D$3:$D$1002,$C199,'Movements'!$E$3:$E$1002,"Waste")+SUMIFS('Movements'!$F$3:$F$1002,'Movements'!$B$3:$B$1002,$A199,'Movements'!$D$3:$D$1002,$C199,'Movements'!$E$3:$E$1002,"In"))</f>
        <v/>
      </c>
      <c r="I199" s="16">
        <f>IF(OR($A199="",$D199=""),"",$D199-'Settings'!$B$6)</f>
        <v/>
      </c>
      <c r="J199" s="8">
        <f>IF(OR($A199="",$D199=""),"",IF($H199&gt;0,$D199+ROW()/100000,""))</f>
        <v/>
      </c>
    </row>
    <row r="200">
      <c r="A200" s="4" t="n"/>
      <c r="B200" s="8">
        <f>IF($A200="","",IFERROR(INDEX('Items'!$B$3:$B$202,MATCH($A200,'Items'!$A$3:$A$202,0)),""))</f>
        <v/>
      </c>
      <c r="C200" s="4" t="n"/>
      <c r="D200" s="5" t="n"/>
      <c r="E200" s="6" t="n"/>
      <c r="F200" s="5" t="n"/>
      <c r="G200" s="4" t="n"/>
      <c r="H200" s="16">
        <f>IF($A200="","",$E200-SUMIFS('Movements'!$F$3:$F$1002,'Movements'!$B$3:$B$1002,$A200,'Movements'!$D$3:$D$1002,$C200,'Movements'!$E$3:$E$1002,"Out")-SUMIFS('Movements'!$F$3:$F$1002,'Movements'!$B$3:$B$1002,$A200,'Movements'!$D$3:$D$1002,$C200,'Movements'!$E$3:$E$1002,"Waste")+SUMIFS('Movements'!$F$3:$F$1002,'Movements'!$B$3:$B$1002,$A200,'Movements'!$D$3:$D$1002,$C200,'Movements'!$E$3:$E$1002,"In"))</f>
        <v/>
      </c>
      <c r="I200" s="16">
        <f>IF(OR($A200="",$D200=""),"",$D200-'Settings'!$B$6)</f>
        <v/>
      </c>
      <c r="J200" s="8">
        <f>IF(OR($A200="",$D200=""),"",IF($H200&gt;0,$D200+ROW()/100000,""))</f>
        <v/>
      </c>
    </row>
    <row r="201">
      <c r="A201" s="4" t="n"/>
      <c r="B201" s="8">
        <f>IF($A201="","",IFERROR(INDEX('Items'!$B$3:$B$202,MATCH($A201,'Items'!$A$3:$A$202,0)),""))</f>
        <v/>
      </c>
      <c r="C201" s="4" t="n"/>
      <c r="D201" s="5" t="n"/>
      <c r="E201" s="6" t="n"/>
      <c r="F201" s="5" t="n"/>
      <c r="G201" s="4" t="n"/>
      <c r="H201" s="16">
        <f>IF($A201="","",$E201-SUMIFS('Movements'!$F$3:$F$1002,'Movements'!$B$3:$B$1002,$A201,'Movements'!$D$3:$D$1002,$C201,'Movements'!$E$3:$E$1002,"Out")-SUMIFS('Movements'!$F$3:$F$1002,'Movements'!$B$3:$B$1002,$A201,'Movements'!$D$3:$D$1002,$C201,'Movements'!$E$3:$E$1002,"Waste")+SUMIFS('Movements'!$F$3:$F$1002,'Movements'!$B$3:$B$1002,$A201,'Movements'!$D$3:$D$1002,$C201,'Movements'!$E$3:$E$1002,"In"))</f>
        <v/>
      </c>
      <c r="I201" s="16">
        <f>IF(OR($A201="",$D201=""),"",$D201-'Settings'!$B$6)</f>
        <v/>
      </c>
      <c r="J201" s="8">
        <f>IF(OR($A201="",$D201=""),"",IF($H201&gt;0,$D201+ROW()/100000,""))</f>
        <v/>
      </c>
    </row>
    <row r="202">
      <c r="A202" s="4" t="n"/>
      <c r="B202" s="8">
        <f>IF($A202="","",IFERROR(INDEX('Items'!$B$3:$B$202,MATCH($A202,'Items'!$A$3:$A$202,0)),""))</f>
        <v/>
      </c>
      <c r="C202" s="4" t="n"/>
      <c r="D202" s="5" t="n"/>
      <c r="E202" s="6" t="n"/>
      <c r="F202" s="5" t="n"/>
      <c r="G202" s="4" t="n"/>
      <c r="H202" s="16">
        <f>IF($A202="","",$E202-SUMIFS('Movements'!$F$3:$F$1002,'Movements'!$B$3:$B$1002,$A202,'Movements'!$D$3:$D$1002,$C202,'Movements'!$E$3:$E$1002,"Out")-SUMIFS('Movements'!$F$3:$F$1002,'Movements'!$B$3:$B$1002,$A202,'Movements'!$D$3:$D$1002,$C202,'Movements'!$E$3:$E$1002,"Waste")+SUMIFS('Movements'!$F$3:$F$1002,'Movements'!$B$3:$B$1002,$A202,'Movements'!$D$3:$D$1002,$C202,'Movements'!$E$3:$E$1002,"In"))</f>
        <v/>
      </c>
      <c r="I202" s="16">
        <f>IF(OR($A202="",$D202=""),"",$D202-'Settings'!$B$6)</f>
        <v/>
      </c>
      <c r="J202" s="8">
        <f>IF(OR($A202="",$D202=""),"",IF($H202&gt;0,$D202+ROW()/100000,""))</f>
        <v/>
      </c>
    </row>
    <row r="203">
      <c r="A203" s="4" t="n"/>
      <c r="B203" s="8">
        <f>IF($A203="","",IFERROR(INDEX('Items'!$B$3:$B$202,MATCH($A203,'Items'!$A$3:$A$202,0)),""))</f>
        <v/>
      </c>
      <c r="C203" s="4" t="n"/>
      <c r="D203" s="5" t="n"/>
      <c r="E203" s="6" t="n"/>
      <c r="F203" s="5" t="n"/>
      <c r="G203" s="4" t="n"/>
      <c r="H203" s="16">
        <f>IF($A203="","",$E203-SUMIFS('Movements'!$F$3:$F$1002,'Movements'!$B$3:$B$1002,$A203,'Movements'!$D$3:$D$1002,$C203,'Movements'!$E$3:$E$1002,"Out")-SUMIFS('Movements'!$F$3:$F$1002,'Movements'!$B$3:$B$1002,$A203,'Movements'!$D$3:$D$1002,$C203,'Movements'!$E$3:$E$1002,"Waste")+SUMIFS('Movements'!$F$3:$F$1002,'Movements'!$B$3:$B$1002,$A203,'Movements'!$D$3:$D$1002,$C203,'Movements'!$E$3:$E$1002,"In"))</f>
        <v/>
      </c>
      <c r="I203" s="16">
        <f>IF(OR($A203="",$D203=""),"",$D203-'Settings'!$B$6)</f>
        <v/>
      </c>
      <c r="J203" s="8">
        <f>IF(OR($A203="",$D203=""),"",IF($H203&gt;0,$D203+ROW()/100000,""))</f>
        <v/>
      </c>
    </row>
    <row r="204">
      <c r="A204" s="4" t="n"/>
      <c r="B204" s="8">
        <f>IF($A204="","",IFERROR(INDEX('Items'!$B$3:$B$202,MATCH($A204,'Items'!$A$3:$A$202,0)),""))</f>
        <v/>
      </c>
      <c r="C204" s="4" t="n"/>
      <c r="D204" s="5" t="n"/>
      <c r="E204" s="6" t="n"/>
      <c r="F204" s="5" t="n"/>
      <c r="G204" s="4" t="n"/>
      <c r="H204" s="16">
        <f>IF($A204="","",$E204-SUMIFS('Movements'!$F$3:$F$1002,'Movements'!$B$3:$B$1002,$A204,'Movements'!$D$3:$D$1002,$C204,'Movements'!$E$3:$E$1002,"Out")-SUMIFS('Movements'!$F$3:$F$1002,'Movements'!$B$3:$B$1002,$A204,'Movements'!$D$3:$D$1002,$C204,'Movements'!$E$3:$E$1002,"Waste")+SUMIFS('Movements'!$F$3:$F$1002,'Movements'!$B$3:$B$1002,$A204,'Movements'!$D$3:$D$1002,$C204,'Movements'!$E$3:$E$1002,"In"))</f>
        <v/>
      </c>
      <c r="I204" s="16">
        <f>IF(OR($A204="",$D204=""),"",$D204-'Settings'!$B$6)</f>
        <v/>
      </c>
      <c r="J204" s="8">
        <f>IF(OR($A204="",$D204=""),"",IF($H204&gt;0,$D204+ROW()/100000,""))</f>
        <v/>
      </c>
    </row>
    <row r="205">
      <c r="A205" s="4" t="n"/>
      <c r="B205" s="8">
        <f>IF($A205="","",IFERROR(INDEX('Items'!$B$3:$B$202,MATCH($A205,'Items'!$A$3:$A$202,0)),""))</f>
        <v/>
      </c>
      <c r="C205" s="4" t="n"/>
      <c r="D205" s="5" t="n"/>
      <c r="E205" s="6" t="n"/>
      <c r="F205" s="5" t="n"/>
      <c r="G205" s="4" t="n"/>
      <c r="H205" s="16">
        <f>IF($A205="","",$E205-SUMIFS('Movements'!$F$3:$F$1002,'Movements'!$B$3:$B$1002,$A205,'Movements'!$D$3:$D$1002,$C205,'Movements'!$E$3:$E$1002,"Out")-SUMIFS('Movements'!$F$3:$F$1002,'Movements'!$B$3:$B$1002,$A205,'Movements'!$D$3:$D$1002,$C205,'Movements'!$E$3:$E$1002,"Waste")+SUMIFS('Movements'!$F$3:$F$1002,'Movements'!$B$3:$B$1002,$A205,'Movements'!$D$3:$D$1002,$C205,'Movements'!$E$3:$E$1002,"In"))</f>
        <v/>
      </c>
      <c r="I205" s="16">
        <f>IF(OR($A205="",$D205=""),"",$D205-'Settings'!$B$6)</f>
        <v/>
      </c>
      <c r="J205" s="8">
        <f>IF(OR($A205="",$D205=""),"",IF($H205&gt;0,$D205+ROW()/100000,""))</f>
        <v/>
      </c>
    </row>
    <row r="206">
      <c r="A206" s="4" t="n"/>
      <c r="B206" s="8">
        <f>IF($A206="","",IFERROR(INDEX('Items'!$B$3:$B$202,MATCH($A206,'Items'!$A$3:$A$202,0)),""))</f>
        <v/>
      </c>
      <c r="C206" s="4" t="n"/>
      <c r="D206" s="5" t="n"/>
      <c r="E206" s="6" t="n"/>
      <c r="F206" s="5" t="n"/>
      <c r="G206" s="4" t="n"/>
      <c r="H206" s="16">
        <f>IF($A206="","",$E206-SUMIFS('Movements'!$F$3:$F$1002,'Movements'!$B$3:$B$1002,$A206,'Movements'!$D$3:$D$1002,$C206,'Movements'!$E$3:$E$1002,"Out")-SUMIFS('Movements'!$F$3:$F$1002,'Movements'!$B$3:$B$1002,$A206,'Movements'!$D$3:$D$1002,$C206,'Movements'!$E$3:$E$1002,"Waste")+SUMIFS('Movements'!$F$3:$F$1002,'Movements'!$B$3:$B$1002,$A206,'Movements'!$D$3:$D$1002,$C206,'Movements'!$E$3:$E$1002,"In"))</f>
        <v/>
      </c>
      <c r="I206" s="16">
        <f>IF(OR($A206="",$D206=""),"",$D206-'Settings'!$B$6)</f>
        <v/>
      </c>
      <c r="J206" s="8">
        <f>IF(OR($A206="",$D206=""),"",IF($H206&gt;0,$D206+ROW()/100000,""))</f>
        <v/>
      </c>
    </row>
    <row r="207">
      <c r="A207" s="4" t="n"/>
      <c r="B207" s="8">
        <f>IF($A207="","",IFERROR(INDEX('Items'!$B$3:$B$202,MATCH($A207,'Items'!$A$3:$A$202,0)),""))</f>
        <v/>
      </c>
      <c r="C207" s="4" t="n"/>
      <c r="D207" s="5" t="n"/>
      <c r="E207" s="6" t="n"/>
      <c r="F207" s="5" t="n"/>
      <c r="G207" s="4" t="n"/>
      <c r="H207" s="16">
        <f>IF($A207="","",$E207-SUMIFS('Movements'!$F$3:$F$1002,'Movements'!$B$3:$B$1002,$A207,'Movements'!$D$3:$D$1002,$C207,'Movements'!$E$3:$E$1002,"Out")-SUMIFS('Movements'!$F$3:$F$1002,'Movements'!$B$3:$B$1002,$A207,'Movements'!$D$3:$D$1002,$C207,'Movements'!$E$3:$E$1002,"Waste")+SUMIFS('Movements'!$F$3:$F$1002,'Movements'!$B$3:$B$1002,$A207,'Movements'!$D$3:$D$1002,$C207,'Movements'!$E$3:$E$1002,"In"))</f>
        <v/>
      </c>
      <c r="I207" s="16">
        <f>IF(OR($A207="",$D207=""),"",$D207-'Settings'!$B$6)</f>
        <v/>
      </c>
      <c r="J207" s="8">
        <f>IF(OR($A207="",$D207=""),"",IF($H207&gt;0,$D207+ROW()/100000,""))</f>
        <v/>
      </c>
    </row>
    <row r="208">
      <c r="A208" s="4" t="n"/>
      <c r="B208" s="8">
        <f>IF($A208="","",IFERROR(INDEX('Items'!$B$3:$B$202,MATCH($A208,'Items'!$A$3:$A$202,0)),""))</f>
        <v/>
      </c>
      <c r="C208" s="4" t="n"/>
      <c r="D208" s="5" t="n"/>
      <c r="E208" s="6" t="n"/>
      <c r="F208" s="5" t="n"/>
      <c r="G208" s="4" t="n"/>
      <c r="H208" s="16">
        <f>IF($A208="","",$E208-SUMIFS('Movements'!$F$3:$F$1002,'Movements'!$B$3:$B$1002,$A208,'Movements'!$D$3:$D$1002,$C208,'Movements'!$E$3:$E$1002,"Out")-SUMIFS('Movements'!$F$3:$F$1002,'Movements'!$B$3:$B$1002,$A208,'Movements'!$D$3:$D$1002,$C208,'Movements'!$E$3:$E$1002,"Waste")+SUMIFS('Movements'!$F$3:$F$1002,'Movements'!$B$3:$B$1002,$A208,'Movements'!$D$3:$D$1002,$C208,'Movements'!$E$3:$E$1002,"In"))</f>
        <v/>
      </c>
      <c r="I208" s="16">
        <f>IF(OR($A208="",$D208=""),"",$D208-'Settings'!$B$6)</f>
        <v/>
      </c>
      <c r="J208" s="8">
        <f>IF(OR($A208="",$D208=""),"",IF($H208&gt;0,$D208+ROW()/100000,""))</f>
        <v/>
      </c>
    </row>
    <row r="209">
      <c r="A209" s="4" t="n"/>
      <c r="B209" s="8">
        <f>IF($A209="","",IFERROR(INDEX('Items'!$B$3:$B$202,MATCH($A209,'Items'!$A$3:$A$202,0)),""))</f>
        <v/>
      </c>
      <c r="C209" s="4" t="n"/>
      <c r="D209" s="5" t="n"/>
      <c r="E209" s="6" t="n"/>
      <c r="F209" s="5" t="n"/>
      <c r="G209" s="4" t="n"/>
      <c r="H209" s="16">
        <f>IF($A209="","",$E209-SUMIFS('Movements'!$F$3:$F$1002,'Movements'!$B$3:$B$1002,$A209,'Movements'!$D$3:$D$1002,$C209,'Movements'!$E$3:$E$1002,"Out")-SUMIFS('Movements'!$F$3:$F$1002,'Movements'!$B$3:$B$1002,$A209,'Movements'!$D$3:$D$1002,$C209,'Movements'!$E$3:$E$1002,"Waste")+SUMIFS('Movements'!$F$3:$F$1002,'Movements'!$B$3:$B$1002,$A209,'Movements'!$D$3:$D$1002,$C209,'Movements'!$E$3:$E$1002,"In"))</f>
        <v/>
      </c>
      <c r="I209" s="16">
        <f>IF(OR($A209="",$D209=""),"",$D209-'Settings'!$B$6)</f>
        <v/>
      </c>
      <c r="J209" s="8">
        <f>IF(OR($A209="",$D209=""),"",IF($H209&gt;0,$D209+ROW()/100000,""))</f>
        <v/>
      </c>
    </row>
    <row r="210">
      <c r="A210" s="4" t="n"/>
      <c r="B210" s="8">
        <f>IF($A210="","",IFERROR(INDEX('Items'!$B$3:$B$202,MATCH($A210,'Items'!$A$3:$A$202,0)),""))</f>
        <v/>
      </c>
      <c r="C210" s="4" t="n"/>
      <c r="D210" s="5" t="n"/>
      <c r="E210" s="6" t="n"/>
      <c r="F210" s="5" t="n"/>
      <c r="G210" s="4" t="n"/>
      <c r="H210" s="16">
        <f>IF($A210="","",$E210-SUMIFS('Movements'!$F$3:$F$1002,'Movements'!$B$3:$B$1002,$A210,'Movements'!$D$3:$D$1002,$C210,'Movements'!$E$3:$E$1002,"Out")-SUMIFS('Movements'!$F$3:$F$1002,'Movements'!$B$3:$B$1002,$A210,'Movements'!$D$3:$D$1002,$C210,'Movements'!$E$3:$E$1002,"Waste")+SUMIFS('Movements'!$F$3:$F$1002,'Movements'!$B$3:$B$1002,$A210,'Movements'!$D$3:$D$1002,$C210,'Movements'!$E$3:$E$1002,"In"))</f>
        <v/>
      </c>
      <c r="I210" s="16">
        <f>IF(OR($A210="",$D210=""),"",$D210-'Settings'!$B$6)</f>
        <v/>
      </c>
      <c r="J210" s="8">
        <f>IF(OR($A210="",$D210=""),"",IF($H210&gt;0,$D210+ROW()/100000,""))</f>
        <v/>
      </c>
    </row>
    <row r="211">
      <c r="A211" s="4" t="n"/>
      <c r="B211" s="8">
        <f>IF($A211="","",IFERROR(INDEX('Items'!$B$3:$B$202,MATCH($A211,'Items'!$A$3:$A$202,0)),""))</f>
        <v/>
      </c>
      <c r="C211" s="4" t="n"/>
      <c r="D211" s="5" t="n"/>
      <c r="E211" s="6" t="n"/>
      <c r="F211" s="5" t="n"/>
      <c r="G211" s="4" t="n"/>
      <c r="H211" s="16">
        <f>IF($A211="","",$E211-SUMIFS('Movements'!$F$3:$F$1002,'Movements'!$B$3:$B$1002,$A211,'Movements'!$D$3:$D$1002,$C211,'Movements'!$E$3:$E$1002,"Out")-SUMIFS('Movements'!$F$3:$F$1002,'Movements'!$B$3:$B$1002,$A211,'Movements'!$D$3:$D$1002,$C211,'Movements'!$E$3:$E$1002,"Waste")+SUMIFS('Movements'!$F$3:$F$1002,'Movements'!$B$3:$B$1002,$A211,'Movements'!$D$3:$D$1002,$C211,'Movements'!$E$3:$E$1002,"In"))</f>
        <v/>
      </c>
      <c r="I211" s="16">
        <f>IF(OR($A211="",$D211=""),"",$D211-'Settings'!$B$6)</f>
        <v/>
      </c>
      <c r="J211" s="8">
        <f>IF(OR($A211="",$D211=""),"",IF($H211&gt;0,$D211+ROW()/100000,""))</f>
        <v/>
      </c>
    </row>
    <row r="212">
      <c r="A212" s="4" t="n"/>
      <c r="B212" s="8">
        <f>IF($A212="","",IFERROR(INDEX('Items'!$B$3:$B$202,MATCH($A212,'Items'!$A$3:$A$202,0)),""))</f>
        <v/>
      </c>
      <c r="C212" s="4" t="n"/>
      <c r="D212" s="5" t="n"/>
      <c r="E212" s="6" t="n"/>
      <c r="F212" s="5" t="n"/>
      <c r="G212" s="4" t="n"/>
      <c r="H212" s="16">
        <f>IF($A212="","",$E212-SUMIFS('Movements'!$F$3:$F$1002,'Movements'!$B$3:$B$1002,$A212,'Movements'!$D$3:$D$1002,$C212,'Movements'!$E$3:$E$1002,"Out")-SUMIFS('Movements'!$F$3:$F$1002,'Movements'!$B$3:$B$1002,$A212,'Movements'!$D$3:$D$1002,$C212,'Movements'!$E$3:$E$1002,"Waste")+SUMIFS('Movements'!$F$3:$F$1002,'Movements'!$B$3:$B$1002,$A212,'Movements'!$D$3:$D$1002,$C212,'Movements'!$E$3:$E$1002,"In"))</f>
        <v/>
      </c>
      <c r="I212" s="16">
        <f>IF(OR($A212="",$D212=""),"",$D212-'Settings'!$B$6)</f>
        <v/>
      </c>
      <c r="J212" s="8">
        <f>IF(OR($A212="",$D212=""),"",IF($H212&gt;0,$D212+ROW()/100000,""))</f>
        <v/>
      </c>
    </row>
    <row r="213">
      <c r="A213" s="4" t="n"/>
      <c r="B213" s="8">
        <f>IF($A213="","",IFERROR(INDEX('Items'!$B$3:$B$202,MATCH($A213,'Items'!$A$3:$A$202,0)),""))</f>
        <v/>
      </c>
      <c r="C213" s="4" t="n"/>
      <c r="D213" s="5" t="n"/>
      <c r="E213" s="6" t="n"/>
      <c r="F213" s="5" t="n"/>
      <c r="G213" s="4" t="n"/>
      <c r="H213" s="16">
        <f>IF($A213="","",$E213-SUMIFS('Movements'!$F$3:$F$1002,'Movements'!$B$3:$B$1002,$A213,'Movements'!$D$3:$D$1002,$C213,'Movements'!$E$3:$E$1002,"Out")-SUMIFS('Movements'!$F$3:$F$1002,'Movements'!$B$3:$B$1002,$A213,'Movements'!$D$3:$D$1002,$C213,'Movements'!$E$3:$E$1002,"Waste")+SUMIFS('Movements'!$F$3:$F$1002,'Movements'!$B$3:$B$1002,$A213,'Movements'!$D$3:$D$1002,$C213,'Movements'!$E$3:$E$1002,"In"))</f>
        <v/>
      </c>
      <c r="I213" s="16">
        <f>IF(OR($A213="",$D213=""),"",$D213-'Settings'!$B$6)</f>
        <v/>
      </c>
      <c r="J213" s="8">
        <f>IF(OR($A213="",$D213=""),"",IF($H213&gt;0,$D213+ROW()/100000,""))</f>
        <v/>
      </c>
    </row>
    <row r="214">
      <c r="A214" s="4" t="n"/>
      <c r="B214" s="8">
        <f>IF($A214="","",IFERROR(INDEX('Items'!$B$3:$B$202,MATCH($A214,'Items'!$A$3:$A$202,0)),""))</f>
        <v/>
      </c>
      <c r="C214" s="4" t="n"/>
      <c r="D214" s="5" t="n"/>
      <c r="E214" s="6" t="n"/>
      <c r="F214" s="5" t="n"/>
      <c r="G214" s="4" t="n"/>
      <c r="H214" s="16">
        <f>IF($A214="","",$E214-SUMIFS('Movements'!$F$3:$F$1002,'Movements'!$B$3:$B$1002,$A214,'Movements'!$D$3:$D$1002,$C214,'Movements'!$E$3:$E$1002,"Out")-SUMIFS('Movements'!$F$3:$F$1002,'Movements'!$B$3:$B$1002,$A214,'Movements'!$D$3:$D$1002,$C214,'Movements'!$E$3:$E$1002,"Waste")+SUMIFS('Movements'!$F$3:$F$1002,'Movements'!$B$3:$B$1002,$A214,'Movements'!$D$3:$D$1002,$C214,'Movements'!$E$3:$E$1002,"In"))</f>
        <v/>
      </c>
      <c r="I214" s="16">
        <f>IF(OR($A214="",$D214=""),"",$D214-'Settings'!$B$6)</f>
        <v/>
      </c>
      <c r="J214" s="8">
        <f>IF(OR($A214="",$D214=""),"",IF($H214&gt;0,$D214+ROW()/100000,""))</f>
        <v/>
      </c>
    </row>
    <row r="215">
      <c r="A215" s="4" t="n"/>
      <c r="B215" s="8">
        <f>IF($A215="","",IFERROR(INDEX('Items'!$B$3:$B$202,MATCH($A215,'Items'!$A$3:$A$202,0)),""))</f>
        <v/>
      </c>
      <c r="C215" s="4" t="n"/>
      <c r="D215" s="5" t="n"/>
      <c r="E215" s="6" t="n"/>
      <c r="F215" s="5" t="n"/>
      <c r="G215" s="4" t="n"/>
      <c r="H215" s="16">
        <f>IF($A215="","",$E215-SUMIFS('Movements'!$F$3:$F$1002,'Movements'!$B$3:$B$1002,$A215,'Movements'!$D$3:$D$1002,$C215,'Movements'!$E$3:$E$1002,"Out")-SUMIFS('Movements'!$F$3:$F$1002,'Movements'!$B$3:$B$1002,$A215,'Movements'!$D$3:$D$1002,$C215,'Movements'!$E$3:$E$1002,"Waste")+SUMIFS('Movements'!$F$3:$F$1002,'Movements'!$B$3:$B$1002,$A215,'Movements'!$D$3:$D$1002,$C215,'Movements'!$E$3:$E$1002,"In"))</f>
        <v/>
      </c>
      <c r="I215" s="16">
        <f>IF(OR($A215="",$D215=""),"",$D215-'Settings'!$B$6)</f>
        <v/>
      </c>
      <c r="J215" s="8">
        <f>IF(OR($A215="",$D215=""),"",IF($H215&gt;0,$D215+ROW()/100000,""))</f>
        <v/>
      </c>
    </row>
    <row r="216">
      <c r="A216" s="4" t="n"/>
      <c r="B216" s="8">
        <f>IF($A216="","",IFERROR(INDEX('Items'!$B$3:$B$202,MATCH($A216,'Items'!$A$3:$A$202,0)),""))</f>
        <v/>
      </c>
      <c r="C216" s="4" t="n"/>
      <c r="D216" s="5" t="n"/>
      <c r="E216" s="6" t="n"/>
      <c r="F216" s="5" t="n"/>
      <c r="G216" s="4" t="n"/>
      <c r="H216" s="16">
        <f>IF($A216="","",$E216-SUMIFS('Movements'!$F$3:$F$1002,'Movements'!$B$3:$B$1002,$A216,'Movements'!$D$3:$D$1002,$C216,'Movements'!$E$3:$E$1002,"Out")-SUMIFS('Movements'!$F$3:$F$1002,'Movements'!$B$3:$B$1002,$A216,'Movements'!$D$3:$D$1002,$C216,'Movements'!$E$3:$E$1002,"Waste")+SUMIFS('Movements'!$F$3:$F$1002,'Movements'!$B$3:$B$1002,$A216,'Movements'!$D$3:$D$1002,$C216,'Movements'!$E$3:$E$1002,"In"))</f>
        <v/>
      </c>
      <c r="I216" s="16">
        <f>IF(OR($A216="",$D216=""),"",$D216-'Settings'!$B$6)</f>
        <v/>
      </c>
      <c r="J216" s="8">
        <f>IF(OR($A216="",$D216=""),"",IF($H216&gt;0,$D216+ROW()/100000,""))</f>
        <v/>
      </c>
    </row>
    <row r="217">
      <c r="A217" s="4" t="n"/>
      <c r="B217" s="8">
        <f>IF($A217="","",IFERROR(INDEX('Items'!$B$3:$B$202,MATCH($A217,'Items'!$A$3:$A$202,0)),""))</f>
        <v/>
      </c>
      <c r="C217" s="4" t="n"/>
      <c r="D217" s="5" t="n"/>
      <c r="E217" s="6" t="n"/>
      <c r="F217" s="5" t="n"/>
      <c r="G217" s="4" t="n"/>
      <c r="H217" s="16">
        <f>IF($A217="","",$E217-SUMIFS('Movements'!$F$3:$F$1002,'Movements'!$B$3:$B$1002,$A217,'Movements'!$D$3:$D$1002,$C217,'Movements'!$E$3:$E$1002,"Out")-SUMIFS('Movements'!$F$3:$F$1002,'Movements'!$B$3:$B$1002,$A217,'Movements'!$D$3:$D$1002,$C217,'Movements'!$E$3:$E$1002,"Waste")+SUMIFS('Movements'!$F$3:$F$1002,'Movements'!$B$3:$B$1002,$A217,'Movements'!$D$3:$D$1002,$C217,'Movements'!$E$3:$E$1002,"In"))</f>
        <v/>
      </c>
      <c r="I217" s="16">
        <f>IF(OR($A217="",$D217=""),"",$D217-'Settings'!$B$6)</f>
        <v/>
      </c>
      <c r="J217" s="8">
        <f>IF(OR($A217="",$D217=""),"",IF($H217&gt;0,$D217+ROW()/100000,""))</f>
        <v/>
      </c>
    </row>
    <row r="218">
      <c r="A218" s="4" t="n"/>
      <c r="B218" s="8">
        <f>IF($A218="","",IFERROR(INDEX('Items'!$B$3:$B$202,MATCH($A218,'Items'!$A$3:$A$202,0)),""))</f>
        <v/>
      </c>
      <c r="C218" s="4" t="n"/>
      <c r="D218" s="5" t="n"/>
      <c r="E218" s="6" t="n"/>
      <c r="F218" s="5" t="n"/>
      <c r="G218" s="4" t="n"/>
      <c r="H218" s="16">
        <f>IF($A218="","",$E218-SUMIFS('Movements'!$F$3:$F$1002,'Movements'!$B$3:$B$1002,$A218,'Movements'!$D$3:$D$1002,$C218,'Movements'!$E$3:$E$1002,"Out")-SUMIFS('Movements'!$F$3:$F$1002,'Movements'!$B$3:$B$1002,$A218,'Movements'!$D$3:$D$1002,$C218,'Movements'!$E$3:$E$1002,"Waste")+SUMIFS('Movements'!$F$3:$F$1002,'Movements'!$B$3:$B$1002,$A218,'Movements'!$D$3:$D$1002,$C218,'Movements'!$E$3:$E$1002,"In"))</f>
        <v/>
      </c>
      <c r="I218" s="16">
        <f>IF(OR($A218="",$D218=""),"",$D218-'Settings'!$B$6)</f>
        <v/>
      </c>
      <c r="J218" s="8">
        <f>IF(OR($A218="",$D218=""),"",IF($H218&gt;0,$D218+ROW()/100000,""))</f>
        <v/>
      </c>
    </row>
    <row r="219">
      <c r="A219" s="4" t="n"/>
      <c r="B219" s="8">
        <f>IF($A219="","",IFERROR(INDEX('Items'!$B$3:$B$202,MATCH($A219,'Items'!$A$3:$A$202,0)),""))</f>
        <v/>
      </c>
      <c r="C219" s="4" t="n"/>
      <c r="D219" s="5" t="n"/>
      <c r="E219" s="6" t="n"/>
      <c r="F219" s="5" t="n"/>
      <c r="G219" s="4" t="n"/>
      <c r="H219" s="16">
        <f>IF($A219="","",$E219-SUMIFS('Movements'!$F$3:$F$1002,'Movements'!$B$3:$B$1002,$A219,'Movements'!$D$3:$D$1002,$C219,'Movements'!$E$3:$E$1002,"Out")-SUMIFS('Movements'!$F$3:$F$1002,'Movements'!$B$3:$B$1002,$A219,'Movements'!$D$3:$D$1002,$C219,'Movements'!$E$3:$E$1002,"Waste")+SUMIFS('Movements'!$F$3:$F$1002,'Movements'!$B$3:$B$1002,$A219,'Movements'!$D$3:$D$1002,$C219,'Movements'!$E$3:$E$1002,"In"))</f>
        <v/>
      </c>
      <c r="I219" s="16">
        <f>IF(OR($A219="",$D219=""),"",$D219-'Settings'!$B$6)</f>
        <v/>
      </c>
      <c r="J219" s="8">
        <f>IF(OR($A219="",$D219=""),"",IF($H219&gt;0,$D219+ROW()/100000,""))</f>
        <v/>
      </c>
    </row>
    <row r="220">
      <c r="A220" s="4" t="n"/>
      <c r="B220" s="8">
        <f>IF($A220="","",IFERROR(INDEX('Items'!$B$3:$B$202,MATCH($A220,'Items'!$A$3:$A$202,0)),""))</f>
        <v/>
      </c>
      <c r="C220" s="4" t="n"/>
      <c r="D220" s="5" t="n"/>
      <c r="E220" s="6" t="n"/>
      <c r="F220" s="5" t="n"/>
      <c r="G220" s="4" t="n"/>
      <c r="H220" s="16">
        <f>IF($A220="","",$E220-SUMIFS('Movements'!$F$3:$F$1002,'Movements'!$B$3:$B$1002,$A220,'Movements'!$D$3:$D$1002,$C220,'Movements'!$E$3:$E$1002,"Out")-SUMIFS('Movements'!$F$3:$F$1002,'Movements'!$B$3:$B$1002,$A220,'Movements'!$D$3:$D$1002,$C220,'Movements'!$E$3:$E$1002,"Waste")+SUMIFS('Movements'!$F$3:$F$1002,'Movements'!$B$3:$B$1002,$A220,'Movements'!$D$3:$D$1002,$C220,'Movements'!$E$3:$E$1002,"In"))</f>
        <v/>
      </c>
      <c r="I220" s="16">
        <f>IF(OR($A220="",$D220=""),"",$D220-'Settings'!$B$6)</f>
        <v/>
      </c>
      <c r="J220" s="8">
        <f>IF(OR($A220="",$D220=""),"",IF($H220&gt;0,$D220+ROW()/100000,""))</f>
        <v/>
      </c>
    </row>
    <row r="221">
      <c r="A221" s="4" t="n"/>
      <c r="B221" s="8">
        <f>IF($A221="","",IFERROR(INDEX('Items'!$B$3:$B$202,MATCH($A221,'Items'!$A$3:$A$202,0)),""))</f>
        <v/>
      </c>
      <c r="C221" s="4" t="n"/>
      <c r="D221" s="5" t="n"/>
      <c r="E221" s="6" t="n"/>
      <c r="F221" s="5" t="n"/>
      <c r="G221" s="4" t="n"/>
      <c r="H221" s="16">
        <f>IF($A221="","",$E221-SUMIFS('Movements'!$F$3:$F$1002,'Movements'!$B$3:$B$1002,$A221,'Movements'!$D$3:$D$1002,$C221,'Movements'!$E$3:$E$1002,"Out")-SUMIFS('Movements'!$F$3:$F$1002,'Movements'!$B$3:$B$1002,$A221,'Movements'!$D$3:$D$1002,$C221,'Movements'!$E$3:$E$1002,"Waste")+SUMIFS('Movements'!$F$3:$F$1002,'Movements'!$B$3:$B$1002,$A221,'Movements'!$D$3:$D$1002,$C221,'Movements'!$E$3:$E$1002,"In"))</f>
        <v/>
      </c>
      <c r="I221" s="16">
        <f>IF(OR($A221="",$D221=""),"",$D221-'Settings'!$B$6)</f>
        <v/>
      </c>
      <c r="J221" s="8">
        <f>IF(OR($A221="",$D221=""),"",IF($H221&gt;0,$D221+ROW()/100000,""))</f>
        <v/>
      </c>
    </row>
    <row r="222">
      <c r="A222" s="4" t="n"/>
      <c r="B222" s="8">
        <f>IF($A222="","",IFERROR(INDEX('Items'!$B$3:$B$202,MATCH($A222,'Items'!$A$3:$A$202,0)),""))</f>
        <v/>
      </c>
      <c r="C222" s="4" t="n"/>
      <c r="D222" s="5" t="n"/>
      <c r="E222" s="6" t="n"/>
      <c r="F222" s="5" t="n"/>
      <c r="G222" s="4" t="n"/>
      <c r="H222" s="16">
        <f>IF($A222="","",$E222-SUMIFS('Movements'!$F$3:$F$1002,'Movements'!$B$3:$B$1002,$A222,'Movements'!$D$3:$D$1002,$C222,'Movements'!$E$3:$E$1002,"Out")-SUMIFS('Movements'!$F$3:$F$1002,'Movements'!$B$3:$B$1002,$A222,'Movements'!$D$3:$D$1002,$C222,'Movements'!$E$3:$E$1002,"Waste")+SUMIFS('Movements'!$F$3:$F$1002,'Movements'!$B$3:$B$1002,$A222,'Movements'!$D$3:$D$1002,$C222,'Movements'!$E$3:$E$1002,"In"))</f>
        <v/>
      </c>
      <c r="I222" s="16">
        <f>IF(OR($A222="",$D222=""),"",$D222-'Settings'!$B$6)</f>
        <v/>
      </c>
      <c r="J222" s="8">
        <f>IF(OR($A222="",$D222=""),"",IF($H222&gt;0,$D222+ROW()/100000,""))</f>
        <v/>
      </c>
    </row>
    <row r="223">
      <c r="A223" s="4" t="n"/>
      <c r="B223" s="8">
        <f>IF($A223="","",IFERROR(INDEX('Items'!$B$3:$B$202,MATCH($A223,'Items'!$A$3:$A$202,0)),""))</f>
        <v/>
      </c>
      <c r="C223" s="4" t="n"/>
      <c r="D223" s="5" t="n"/>
      <c r="E223" s="6" t="n"/>
      <c r="F223" s="5" t="n"/>
      <c r="G223" s="4" t="n"/>
      <c r="H223" s="16">
        <f>IF($A223="","",$E223-SUMIFS('Movements'!$F$3:$F$1002,'Movements'!$B$3:$B$1002,$A223,'Movements'!$D$3:$D$1002,$C223,'Movements'!$E$3:$E$1002,"Out")-SUMIFS('Movements'!$F$3:$F$1002,'Movements'!$B$3:$B$1002,$A223,'Movements'!$D$3:$D$1002,$C223,'Movements'!$E$3:$E$1002,"Waste")+SUMIFS('Movements'!$F$3:$F$1002,'Movements'!$B$3:$B$1002,$A223,'Movements'!$D$3:$D$1002,$C223,'Movements'!$E$3:$E$1002,"In"))</f>
        <v/>
      </c>
      <c r="I223" s="16">
        <f>IF(OR($A223="",$D223=""),"",$D223-'Settings'!$B$6)</f>
        <v/>
      </c>
      <c r="J223" s="8">
        <f>IF(OR($A223="",$D223=""),"",IF($H223&gt;0,$D223+ROW()/100000,""))</f>
        <v/>
      </c>
    </row>
    <row r="224">
      <c r="A224" s="4" t="n"/>
      <c r="B224" s="8">
        <f>IF($A224="","",IFERROR(INDEX('Items'!$B$3:$B$202,MATCH($A224,'Items'!$A$3:$A$202,0)),""))</f>
        <v/>
      </c>
      <c r="C224" s="4" t="n"/>
      <c r="D224" s="5" t="n"/>
      <c r="E224" s="6" t="n"/>
      <c r="F224" s="5" t="n"/>
      <c r="G224" s="4" t="n"/>
      <c r="H224" s="16">
        <f>IF($A224="","",$E224-SUMIFS('Movements'!$F$3:$F$1002,'Movements'!$B$3:$B$1002,$A224,'Movements'!$D$3:$D$1002,$C224,'Movements'!$E$3:$E$1002,"Out")-SUMIFS('Movements'!$F$3:$F$1002,'Movements'!$B$3:$B$1002,$A224,'Movements'!$D$3:$D$1002,$C224,'Movements'!$E$3:$E$1002,"Waste")+SUMIFS('Movements'!$F$3:$F$1002,'Movements'!$B$3:$B$1002,$A224,'Movements'!$D$3:$D$1002,$C224,'Movements'!$E$3:$E$1002,"In"))</f>
        <v/>
      </c>
      <c r="I224" s="16">
        <f>IF(OR($A224="",$D224=""),"",$D224-'Settings'!$B$6)</f>
        <v/>
      </c>
      <c r="J224" s="8">
        <f>IF(OR($A224="",$D224=""),"",IF($H224&gt;0,$D224+ROW()/100000,""))</f>
        <v/>
      </c>
    </row>
    <row r="225">
      <c r="A225" s="4" t="n"/>
      <c r="B225" s="8">
        <f>IF($A225="","",IFERROR(INDEX('Items'!$B$3:$B$202,MATCH($A225,'Items'!$A$3:$A$202,0)),""))</f>
        <v/>
      </c>
      <c r="C225" s="4" t="n"/>
      <c r="D225" s="5" t="n"/>
      <c r="E225" s="6" t="n"/>
      <c r="F225" s="5" t="n"/>
      <c r="G225" s="4" t="n"/>
      <c r="H225" s="16">
        <f>IF($A225="","",$E225-SUMIFS('Movements'!$F$3:$F$1002,'Movements'!$B$3:$B$1002,$A225,'Movements'!$D$3:$D$1002,$C225,'Movements'!$E$3:$E$1002,"Out")-SUMIFS('Movements'!$F$3:$F$1002,'Movements'!$B$3:$B$1002,$A225,'Movements'!$D$3:$D$1002,$C225,'Movements'!$E$3:$E$1002,"Waste")+SUMIFS('Movements'!$F$3:$F$1002,'Movements'!$B$3:$B$1002,$A225,'Movements'!$D$3:$D$1002,$C225,'Movements'!$E$3:$E$1002,"In"))</f>
        <v/>
      </c>
      <c r="I225" s="16">
        <f>IF(OR($A225="",$D225=""),"",$D225-'Settings'!$B$6)</f>
        <v/>
      </c>
      <c r="J225" s="8">
        <f>IF(OR($A225="",$D225=""),"",IF($H225&gt;0,$D225+ROW()/100000,""))</f>
        <v/>
      </c>
    </row>
    <row r="226">
      <c r="A226" s="4" t="n"/>
      <c r="B226" s="8">
        <f>IF($A226="","",IFERROR(INDEX('Items'!$B$3:$B$202,MATCH($A226,'Items'!$A$3:$A$202,0)),""))</f>
        <v/>
      </c>
      <c r="C226" s="4" t="n"/>
      <c r="D226" s="5" t="n"/>
      <c r="E226" s="6" t="n"/>
      <c r="F226" s="5" t="n"/>
      <c r="G226" s="4" t="n"/>
      <c r="H226" s="16">
        <f>IF($A226="","",$E226-SUMIFS('Movements'!$F$3:$F$1002,'Movements'!$B$3:$B$1002,$A226,'Movements'!$D$3:$D$1002,$C226,'Movements'!$E$3:$E$1002,"Out")-SUMIFS('Movements'!$F$3:$F$1002,'Movements'!$B$3:$B$1002,$A226,'Movements'!$D$3:$D$1002,$C226,'Movements'!$E$3:$E$1002,"Waste")+SUMIFS('Movements'!$F$3:$F$1002,'Movements'!$B$3:$B$1002,$A226,'Movements'!$D$3:$D$1002,$C226,'Movements'!$E$3:$E$1002,"In"))</f>
        <v/>
      </c>
      <c r="I226" s="16">
        <f>IF(OR($A226="",$D226=""),"",$D226-'Settings'!$B$6)</f>
        <v/>
      </c>
      <c r="J226" s="8">
        <f>IF(OR($A226="",$D226=""),"",IF($H226&gt;0,$D226+ROW()/100000,""))</f>
        <v/>
      </c>
    </row>
    <row r="227">
      <c r="A227" s="4" t="n"/>
      <c r="B227" s="8">
        <f>IF($A227="","",IFERROR(INDEX('Items'!$B$3:$B$202,MATCH($A227,'Items'!$A$3:$A$202,0)),""))</f>
        <v/>
      </c>
      <c r="C227" s="4" t="n"/>
      <c r="D227" s="5" t="n"/>
      <c r="E227" s="6" t="n"/>
      <c r="F227" s="5" t="n"/>
      <c r="G227" s="4" t="n"/>
      <c r="H227" s="16">
        <f>IF($A227="","",$E227-SUMIFS('Movements'!$F$3:$F$1002,'Movements'!$B$3:$B$1002,$A227,'Movements'!$D$3:$D$1002,$C227,'Movements'!$E$3:$E$1002,"Out")-SUMIFS('Movements'!$F$3:$F$1002,'Movements'!$B$3:$B$1002,$A227,'Movements'!$D$3:$D$1002,$C227,'Movements'!$E$3:$E$1002,"Waste")+SUMIFS('Movements'!$F$3:$F$1002,'Movements'!$B$3:$B$1002,$A227,'Movements'!$D$3:$D$1002,$C227,'Movements'!$E$3:$E$1002,"In"))</f>
        <v/>
      </c>
      <c r="I227" s="16">
        <f>IF(OR($A227="",$D227=""),"",$D227-'Settings'!$B$6)</f>
        <v/>
      </c>
      <c r="J227" s="8">
        <f>IF(OR($A227="",$D227=""),"",IF($H227&gt;0,$D227+ROW()/100000,""))</f>
        <v/>
      </c>
    </row>
    <row r="228">
      <c r="A228" s="4" t="n"/>
      <c r="B228" s="8">
        <f>IF($A228="","",IFERROR(INDEX('Items'!$B$3:$B$202,MATCH($A228,'Items'!$A$3:$A$202,0)),""))</f>
        <v/>
      </c>
      <c r="C228" s="4" t="n"/>
      <c r="D228" s="5" t="n"/>
      <c r="E228" s="6" t="n"/>
      <c r="F228" s="5" t="n"/>
      <c r="G228" s="4" t="n"/>
      <c r="H228" s="16">
        <f>IF($A228="","",$E228-SUMIFS('Movements'!$F$3:$F$1002,'Movements'!$B$3:$B$1002,$A228,'Movements'!$D$3:$D$1002,$C228,'Movements'!$E$3:$E$1002,"Out")-SUMIFS('Movements'!$F$3:$F$1002,'Movements'!$B$3:$B$1002,$A228,'Movements'!$D$3:$D$1002,$C228,'Movements'!$E$3:$E$1002,"Waste")+SUMIFS('Movements'!$F$3:$F$1002,'Movements'!$B$3:$B$1002,$A228,'Movements'!$D$3:$D$1002,$C228,'Movements'!$E$3:$E$1002,"In"))</f>
        <v/>
      </c>
      <c r="I228" s="16">
        <f>IF(OR($A228="",$D228=""),"",$D228-'Settings'!$B$6)</f>
        <v/>
      </c>
      <c r="J228" s="8">
        <f>IF(OR($A228="",$D228=""),"",IF($H228&gt;0,$D228+ROW()/100000,""))</f>
        <v/>
      </c>
    </row>
    <row r="229">
      <c r="A229" s="4" t="n"/>
      <c r="B229" s="8">
        <f>IF($A229="","",IFERROR(INDEX('Items'!$B$3:$B$202,MATCH($A229,'Items'!$A$3:$A$202,0)),""))</f>
        <v/>
      </c>
      <c r="C229" s="4" t="n"/>
      <c r="D229" s="5" t="n"/>
      <c r="E229" s="6" t="n"/>
      <c r="F229" s="5" t="n"/>
      <c r="G229" s="4" t="n"/>
      <c r="H229" s="16">
        <f>IF($A229="","",$E229-SUMIFS('Movements'!$F$3:$F$1002,'Movements'!$B$3:$B$1002,$A229,'Movements'!$D$3:$D$1002,$C229,'Movements'!$E$3:$E$1002,"Out")-SUMIFS('Movements'!$F$3:$F$1002,'Movements'!$B$3:$B$1002,$A229,'Movements'!$D$3:$D$1002,$C229,'Movements'!$E$3:$E$1002,"Waste")+SUMIFS('Movements'!$F$3:$F$1002,'Movements'!$B$3:$B$1002,$A229,'Movements'!$D$3:$D$1002,$C229,'Movements'!$E$3:$E$1002,"In"))</f>
        <v/>
      </c>
      <c r="I229" s="16">
        <f>IF(OR($A229="",$D229=""),"",$D229-'Settings'!$B$6)</f>
        <v/>
      </c>
      <c r="J229" s="8">
        <f>IF(OR($A229="",$D229=""),"",IF($H229&gt;0,$D229+ROW()/100000,""))</f>
        <v/>
      </c>
    </row>
    <row r="230">
      <c r="A230" s="4" t="n"/>
      <c r="B230" s="8">
        <f>IF($A230="","",IFERROR(INDEX('Items'!$B$3:$B$202,MATCH($A230,'Items'!$A$3:$A$202,0)),""))</f>
        <v/>
      </c>
      <c r="C230" s="4" t="n"/>
      <c r="D230" s="5" t="n"/>
      <c r="E230" s="6" t="n"/>
      <c r="F230" s="5" t="n"/>
      <c r="G230" s="4" t="n"/>
      <c r="H230" s="16">
        <f>IF($A230="","",$E230-SUMIFS('Movements'!$F$3:$F$1002,'Movements'!$B$3:$B$1002,$A230,'Movements'!$D$3:$D$1002,$C230,'Movements'!$E$3:$E$1002,"Out")-SUMIFS('Movements'!$F$3:$F$1002,'Movements'!$B$3:$B$1002,$A230,'Movements'!$D$3:$D$1002,$C230,'Movements'!$E$3:$E$1002,"Waste")+SUMIFS('Movements'!$F$3:$F$1002,'Movements'!$B$3:$B$1002,$A230,'Movements'!$D$3:$D$1002,$C230,'Movements'!$E$3:$E$1002,"In"))</f>
        <v/>
      </c>
      <c r="I230" s="16">
        <f>IF(OR($A230="",$D230=""),"",$D230-'Settings'!$B$6)</f>
        <v/>
      </c>
      <c r="J230" s="8">
        <f>IF(OR($A230="",$D230=""),"",IF($H230&gt;0,$D230+ROW()/100000,""))</f>
        <v/>
      </c>
    </row>
    <row r="231">
      <c r="A231" s="4" t="n"/>
      <c r="B231" s="8">
        <f>IF($A231="","",IFERROR(INDEX('Items'!$B$3:$B$202,MATCH($A231,'Items'!$A$3:$A$202,0)),""))</f>
        <v/>
      </c>
      <c r="C231" s="4" t="n"/>
      <c r="D231" s="5" t="n"/>
      <c r="E231" s="6" t="n"/>
      <c r="F231" s="5" t="n"/>
      <c r="G231" s="4" t="n"/>
      <c r="H231" s="16">
        <f>IF($A231="","",$E231-SUMIFS('Movements'!$F$3:$F$1002,'Movements'!$B$3:$B$1002,$A231,'Movements'!$D$3:$D$1002,$C231,'Movements'!$E$3:$E$1002,"Out")-SUMIFS('Movements'!$F$3:$F$1002,'Movements'!$B$3:$B$1002,$A231,'Movements'!$D$3:$D$1002,$C231,'Movements'!$E$3:$E$1002,"Waste")+SUMIFS('Movements'!$F$3:$F$1002,'Movements'!$B$3:$B$1002,$A231,'Movements'!$D$3:$D$1002,$C231,'Movements'!$E$3:$E$1002,"In"))</f>
        <v/>
      </c>
      <c r="I231" s="16">
        <f>IF(OR($A231="",$D231=""),"",$D231-'Settings'!$B$6)</f>
        <v/>
      </c>
      <c r="J231" s="8">
        <f>IF(OR($A231="",$D231=""),"",IF($H231&gt;0,$D231+ROW()/100000,""))</f>
        <v/>
      </c>
    </row>
    <row r="232">
      <c r="A232" s="4" t="n"/>
      <c r="B232" s="8">
        <f>IF($A232="","",IFERROR(INDEX('Items'!$B$3:$B$202,MATCH($A232,'Items'!$A$3:$A$202,0)),""))</f>
        <v/>
      </c>
      <c r="C232" s="4" t="n"/>
      <c r="D232" s="5" t="n"/>
      <c r="E232" s="6" t="n"/>
      <c r="F232" s="5" t="n"/>
      <c r="G232" s="4" t="n"/>
      <c r="H232" s="16">
        <f>IF($A232="","",$E232-SUMIFS('Movements'!$F$3:$F$1002,'Movements'!$B$3:$B$1002,$A232,'Movements'!$D$3:$D$1002,$C232,'Movements'!$E$3:$E$1002,"Out")-SUMIFS('Movements'!$F$3:$F$1002,'Movements'!$B$3:$B$1002,$A232,'Movements'!$D$3:$D$1002,$C232,'Movements'!$E$3:$E$1002,"Waste")+SUMIFS('Movements'!$F$3:$F$1002,'Movements'!$B$3:$B$1002,$A232,'Movements'!$D$3:$D$1002,$C232,'Movements'!$E$3:$E$1002,"In"))</f>
        <v/>
      </c>
      <c r="I232" s="16">
        <f>IF(OR($A232="",$D232=""),"",$D232-'Settings'!$B$6)</f>
        <v/>
      </c>
      <c r="J232" s="8">
        <f>IF(OR($A232="",$D232=""),"",IF($H232&gt;0,$D232+ROW()/100000,""))</f>
        <v/>
      </c>
    </row>
    <row r="233">
      <c r="A233" s="4" t="n"/>
      <c r="B233" s="8">
        <f>IF($A233="","",IFERROR(INDEX('Items'!$B$3:$B$202,MATCH($A233,'Items'!$A$3:$A$202,0)),""))</f>
        <v/>
      </c>
      <c r="C233" s="4" t="n"/>
      <c r="D233" s="5" t="n"/>
      <c r="E233" s="6" t="n"/>
      <c r="F233" s="5" t="n"/>
      <c r="G233" s="4" t="n"/>
      <c r="H233" s="16">
        <f>IF($A233="","",$E233-SUMIFS('Movements'!$F$3:$F$1002,'Movements'!$B$3:$B$1002,$A233,'Movements'!$D$3:$D$1002,$C233,'Movements'!$E$3:$E$1002,"Out")-SUMIFS('Movements'!$F$3:$F$1002,'Movements'!$B$3:$B$1002,$A233,'Movements'!$D$3:$D$1002,$C233,'Movements'!$E$3:$E$1002,"Waste")+SUMIFS('Movements'!$F$3:$F$1002,'Movements'!$B$3:$B$1002,$A233,'Movements'!$D$3:$D$1002,$C233,'Movements'!$E$3:$E$1002,"In"))</f>
        <v/>
      </c>
      <c r="I233" s="16">
        <f>IF(OR($A233="",$D233=""),"",$D233-'Settings'!$B$6)</f>
        <v/>
      </c>
      <c r="J233" s="8">
        <f>IF(OR($A233="",$D233=""),"",IF($H233&gt;0,$D233+ROW()/100000,""))</f>
        <v/>
      </c>
    </row>
    <row r="234">
      <c r="A234" s="4" t="n"/>
      <c r="B234" s="8">
        <f>IF($A234="","",IFERROR(INDEX('Items'!$B$3:$B$202,MATCH($A234,'Items'!$A$3:$A$202,0)),""))</f>
        <v/>
      </c>
      <c r="C234" s="4" t="n"/>
      <c r="D234" s="5" t="n"/>
      <c r="E234" s="6" t="n"/>
      <c r="F234" s="5" t="n"/>
      <c r="G234" s="4" t="n"/>
      <c r="H234" s="16">
        <f>IF($A234="","",$E234-SUMIFS('Movements'!$F$3:$F$1002,'Movements'!$B$3:$B$1002,$A234,'Movements'!$D$3:$D$1002,$C234,'Movements'!$E$3:$E$1002,"Out")-SUMIFS('Movements'!$F$3:$F$1002,'Movements'!$B$3:$B$1002,$A234,'Movements'!$D$3:$D$1002,$C234,'Movements'!$E$3:$E$1002,"Waste")+SUMIFS('Movements'!$F$3:$F$1002,'Movements'!$B$3:$B$1002,$A234,'Movements'!$D$3:$D$1002,$C234,'Movements'!$E$3:$E$1002,"In"))</f>
        <v/>
      </c>
      <c r="I234" s="16">
        <f>IF(OR($A234="",$D234=""),"",$D234-'Settings'!$B$6)</f>
        <v/>
      </c>
      <c r="J234" s="8">
        <f>IF(OR($A234="",$D234=""),"",IF($H234&gt;0,$D234+ROW()/100000,""))</f>
        <v/>
      </c>
    </row>
    <row r="235">
      <c r="A235" s="4" t="n"/>
      <c r="B235" s="8">
        <f>IF($A235="","",IFERROR(INDEX('Items'!$B$3:$B$202,MATCH($A235,'Items'!$A$3:$A$202,0)),""))</f>
        <v/>
      </c>
      <c r="C235" s="4" t="n"/>
      <c r="D235" s="5" t="n"/>
      <c r="E235" s="6" t="n"/>
      <c r="F235" s="5" t="n"/>
      <c r="G235" s="4" t="n"/>
      <c r="H235" s="16">
        <f>IF($A235="","",$E235-SUMIFS('Movements'!$F$3:$F$1002,'Movements'!$B$3:$B$1002,$A235,'Movements'!$D$3:$D$1002,$C235,'Movements'!$E$3:$E$1002,"Out")-SUMIFS('Movements'!$F$3:$F$1002,'Movements'!$B$3:$B$1002,$A235,'Movements'!$D$3:$D$1002,$C235,'Movements'!$E$3:$E$1002,"Waste")+SUMIFS('Movements'!$F$3:$F$1002,'Movements'!$B$3:$B$1002,$A235,'Movements'!$D$3:$D$1002,$C235,'Movements'!$E$3:$E$1002,"In"))</f>
        <v/>
      </c>
      <c r="I235" s="16">
        <f>IF(OR($A235="",$D235=""),"",$D235-'Settings'!$B$6)</f>
        <v/>
      </c>
      <c r="J235" s="8">
        <f>IF(OR($A235="",$D235=""),"",IF($H235&gt;0,$D235+ROW()/100000,""))</f>
        <v/>
      </c>
    </row>
    <row r="236">
      <c r="A236" s="4" t="n"/>
      <c r="B236" s="8">
        <f>IF($A236="","",IFERROR(INDEX('Items'!$B$3:$B$202,MATCH($A236,'Items'!$A$3:$A$202,0)),""))</f>
        <v/>
      </c>
      <c r="C236" s="4" t="n"/>
      <c r="D236" s="5" t="n"/>
      <c r="E236" s="6" t="n"/>
      <c r="F236" s="5" t="n"/>
      <c r="G236" s="4" t="n"/>
      <c r="H236" s="16">
        <f>IF($A236="","",$E236-SUMIFS('Movements'!$F$3:$F$1002,'Movements'!$B$3:$B$1002,$A236,'Movements'!$D$3:$D$1002,$C236,'Movements'!$E$3:$E$1002,"Out")-SUMIFS('Movements'!$F$3:$F$1002,'Movements'!$B$3:$B$1002,$A236,'Movements'!$D$3:$D$1002,$C236,'Movements'!$E$3:$E$1002,"Waste")+SUMIFS('Movements'!$F$3:$F$1002,'Movements'!$B$3:$B$1002,$A236,'Movements'!$D$3:$D$1002,$C236,'Movements'!$E$3:$E$1002,"In"))</f>
        <v/>
      </c>
      <c r="I236" s="16">
        <f>IF(OR($A236="",$D236=""),"",$D236-'Settings'!$B$6)</f>
        <v/>
      </c>
      <c r="J236" s="8">
        <f>IF(OR($A236="",$D236=""),"",IF($H236&gt;0,$D236+ROW()/100000,""))</f>
        <v/>
      </c>
    </row>
    <row r="237">
      <c r="A237" s="4" t="n"/>
      <c r="B237" s="8">
        <f>IF($A237="","",IFERROR(INDEX('Items'!$B$3:$B$202,MATCH($A237,'Items'!$A$3:$A$202,0)),""))</f>
        <v/>
      </c>
      <c r="C237" s="4" t="n"/>
      <c r="D237" s="5" t="n"/>
      <c r="E237" s="6" t="n"/>
      <c r="F237" s="5" t="n"/>
      <c r="G237" s="4" t="n"/>
      <c r="H237" s="16">
        <f>IF($A237="","",$E237-SUMIFS('Movements'!$F$3:$F$1002,'Movements'!$B$3:$B$1002,$A237,'Movements'!$D$3:$D$1002,$C237,'Movements'!$E$3:$E$1002,"Out")-SUMIFS('Movements'!$F$3:$F$1002,'Movements'!$B$3:$B$1002,$A237,'Movements'!$D$3:$D$1002,$C237,'Movements'!$E$3:$E$1002,"Waste")+SUMIFS('Movements'!$F$3:$F$1002,'Movements'!$B$3:$B$1002,$A237,'Movements'!$D$3:$D$1002,$C237,'Movements'!$E$3:$E$1002,"In"))</f>
        <v/>
      </c>
      <c r="I237" s="16">
        <f>IF(OR($A237="",$D237=""),"",$D237-'Settings'!$B$6)</f>
        <v/>
      </c>
      <c r="J237" s="8">
        <f>IF(OR($A237="",$D237=""),"",IF($H237&gt;0,$D237+ROW()/100000,""))</f>
        <v/>
      </c>
    </row>
    <row r="238">
      <c r="A238" s="4" t="n"/>
      <c r="B238" s="8">
        <f>IF($A238="","",IFERROR(INDEX('Items'!$B$3:$B$202,MATCH($A238,'Items'!$A$3:$A$202,0)),""))</f>
        <v/>
      </c>
      <c r="C238" s="4" t="n"/>
      <c r="D238" s="5" t="n"/>
      <c r="E238" s="6" t="n"/>
      <c r="F238" s="5" t="n"/>
      <c r="G238" s="4" t="n"/>
      <c r="H238" s="16">
        <f>IF($A238="","",$E238-SUMIFS('Movements'!$F$3:$F$1002,'Movements'!$B$3:$B$1002,$A238,'Movements'!$D$3:$D$1002,$C238,'Movements'!$E$3:$E$1002,"Out")-SUMIFS('Movements'!$F$3:$F$1002,'Movements'!$B$3:$B$1002,$A238,'Movements'!$D$3:$D$1002,$C238,'Movements'!$E$3:$E$1002,"Waste")+SUMIFS('Movements'!$F$3:$F$1002,'Movements'!$B$3:$B$1002,$A238,'Movements'!$D$3:$D$1002,$C238,'Movements'!$E$3:$E$1002,"In"))</f>
        <v/>
      </c>
      <c r="I238" s="16">
        <f>IF(OR($A238="",$D238=""),"",$D238-'Settings'!$B$6)</f>
        <v/>
      </c>
      <c r="J238" s="8">
        <f>IF(OR($A238="",$D238=""),"",IF($H238&gt;0,$D238+ROW()/100000,""))</f>
        <v/>
      </c>
    </row>
    <row r="239">
      <c r="A239" s="4" t="n"/>
      <c r="B239" s="8">
        <f>IF($A239="","",IFERROR(INDEX('Items'!$B$3:$B$202,MATCH($A239,'Items'!$A$3:$A$202,0)),""))</f>
        <v/>
      </c>
      <c r="C239" s="4" t="n"/>
      <c r="D239" s="5" t="n"/>
      <c r="E239" s="6" t="n"/>
      <c r="F239" s="5" t="n"/>
      <c r="G239" s="4" t="n"/>
      <c r="H239" s="16">
        <f>IF($A239="","",$E239-SUMIFS('Movements'!$F$3:$F$1002,'Movements'!$B$3:$B$1002,$A239,'Movements'!$D$3:$D$1002,$C239,'Movements'!$E$3:$E$1002,"Out")-SUMIFS('Movements'!$F$3:$F$1002,'Movements'!$B$3:$B$1002,$A239,'Movements'!$D$3:$D$1002,$C239,'Movements'!$E$3:$E$1002,"Waste")+SUMIFS('Movements'!$F$3:$F$1002,'Movements'!$B$3:$B$1002,$A239,'Movements'!$D$3:$D$1002,$C239,'Movements'!$E$3:$E$1002,"In"))</f>
        <v/>
      </c>
      <c r="I239" s="16">
        <f>IF(OR($A239="",$D239=""),"",$D239-'Settings'!$B$6)</f>
        <v/>
      </c>
      <c r="J239" s="8">
        <f>IF(OR($A239="",$D239=""),"",IF($H239&gt;0,$D239+ROW()/100000,""))</f>
        <v/>
      </c>
    </row>
    <row r="240">
      <c r="A240" s="4" t="n"/>
      <c r="B240" s="8">
        <f>IF($A240="","",IFERROR(INDEX('Items'!$B$3:$B$202,MATCH($A240,'Items'!$A$3:$A$202,0)),""))</f>
        <v/>
      </c>
      <c r="C240" s="4" t="n"/>
      <c r="D240" s="5" t="n"/>
      <c r="E240" s="6" t="n"/>
      <c r="F240" s="5" t="n"/>
      <c r="G240" s="4" t="n"/>
      <c r="H240" s="16">
        <f>IF($A240="","",$E240-SUMIFS('Movements'!$F$3:$F$1002,'Movements'!$B$3:$B$1002,$A240,'Movements'!$D$3:$D$1002,$C240,'Movements'!$E$3:$E$1002,"Out")-SUMIFS('Movements'!$F$3:$F$1002,'Movements'!$B$3:$B$1002,$A240,'Movements'!$D$3:$D$1002,$C240,'Movements'!$E$3:$E$1002,"Waste")+SUMIFS('Movements'!$F$3:$F$1002,'Movements'!$B$3:$B$1002,$A240,'Movements'!$D$3:$D$1002,$C240,'Movements'!$E$3:$E$1002,"In"))</f>
        <v/>
      </c>
      <c r="I240" s="16">
        <f>IF(OR($A240="",$D240=""),"",$D240-'Settings'!$B$6)</f>
        <v/>
      </c>
      <c r="J240" s="8">
        <f>IF(OR($A240="",$D240=""),"",IF($H240&gt;0,$D240+ROW()/100000,""))</f>
        <v/>
      </c>
    </row>
    <row r="241">
      <c r="A241" s="4" t="n"/>
      <c r="B241" s="8">
        <f>IF($A241="","",IFERROR(INDEX('Items'!$B$3:$B$202,MATCH($A241,'Items'!$A$3:$A$202,0)),""))</f>
        <v/>
      </c>
      <c r="C241" s="4" t="n"/>
      <c r="D241" s="5" t="n"/>
      <c r="E241" s="6" t="n"/>
      <c r="F241" s="5" t="n"/>
      <c r="G241" s="4" t="n"/>
      <c r="H241" s="16">
        <f>IF($A241="","",$E241-SUMIFS('Movements'!$F$3:$F$1002,'Movements'!$B$3:$B$1002,$A241,'Movements'!$D$3:$D$1002,$C241,'Movements'!$E$3:$E$1002,"Out")-SUMIFS('Movements'!$F$3:$F$1002,'Movements'!$B$3:$B$1002,$A241,'Movements'!$D$3:$D$1002,$C241,'Movements'!$E$3:$E$1002,"Waste")+SUMIFS('Movements'!$F$3:$F$1002,'Movements'!$B$3:$B$1002,$A241,'Movements'!$D$3:$D$1002,$C241,'Movements'!$E$3:$E$1002,"In"))</f>
        <v/>
      </c>
      <c r="I241" s="16">
        <f>IF(OR($A241="",$D241=""),"",$D241-'Settings'!$B$6)</f>
        <v/>
      </c>
      <c r="J241" s="8">
        <f>IF(OR($A241="",$D241=""),"",IF($H241&gt;0,$D241+ROW()/100000,""))</f>
        <v/>
      </c>
    </row>
    <row r="242">
      <c r="A242" s="4" t="n"/>
      <c r="B242" s="8">
        <f>IF($A242="","",IFERROR(INDEX('Items'!$B$3:$B$202,MATCH($A242,'Items'!$A$3:$A$202,0)),""))</f>
        <v/>
      </c>
      <c r="C242" s="4" t="n"/>
      <c r="D242" s="5" t="n"/>
      <c r="E242" s="6" t="n"/>
      <c r="F242" s="5" t="n"/>
      <c r="G242" s="4" t="n"/>
      <c r="H242" s="16">
        <f>IF($A242="","",$E242-SUMIFS('Movements'!$F$3:$F$1002,'Movements'!$B$3:$B$1002,$A242,'Movements'!$D$3:$D$1002,$C242,'Movements'!$E$3:$E$1002,"Out")-SUMIFS('Movements'!$F$3:$F$1002,'Movements'!$B$3:$B$1002,$A242,'Movements'!$D$3:$D$1002,$C242,'Movements'!$E$3:$E$1002,"Waste")+SUMIFS('Movements'!$F$3:$F$1002,'Movements'!$B$3:$B$1002,$A242,'Movements'!$D$3:$D$1002,$C242,'Movements'!$E$3:$E$1002,"In"))</f>
        <v/>
      </c>
      <c r="I242" s="16">
        <f>IF(OR($A242="",$D242=""),"",$D242-'Settings'!$B$6)</f>
        <v/>
      </c>
      <c r="J242" s="8">
        <f>IF(OR($A242="",$D242=""),"",IF($H242&gt;0,$D242+ROW()/100000,""))</f>
        <v/>
      </c>
    </row>
    <row r="243">
      <c r="A243" s="4" t="n"/>
      <c r="B243" s="8">
        <f>IF($A243="","",IFERROR(INDEX('Items'!$B$3:$B$202,MATCH($A243,'Items'!$A$3:$A$202,0)),""))</f>
        <v/>
      </c>
      <c r="C243" s="4" t="n"/>
      <c r="D243" s="5" t="n"/>
      <c r="E243" s="6" t="n"/>
      <c r="F243" s="5" t="n"/>
      <c r="G243" s="4" t="n"/>
      <c r="H243" s="16">
        <f>IF($A243="","",$E243-SUMIFS('Movements'!$F$3:$F$1002,'Movements'!$B$3:$B$1002,$A243,'Movements'!$D$3:$D$1002,$C243,'Movements'!$E$3:$E$1002,"Out")-SUMIFS('Movements'!$F$3:$F$1002,'Movements'!$B$3:$B$1002,$A243,'Movements'!$D$3:$D$1002,$C243,'Movements'!$E$3:$E$1002,"Waste")+SUMIFS('Movements'!$F$3:$F$1002,'Movements'!$B$3:$B$1002,$A243,'Movements'!$D$3:$D$1002,$C243,'Movements'!$E$3:$E$1002,"In"))</f>
        <v/>
      </c>
      <c r="I243" s="16">
        <f>IF(OR($A243="",$D243=""),"",$D243-'Settings'!$B$6)</f>
        <v/>
      </c>
      <c r="J243" s="8">
        <f>IF(OR($A243="",$D243=""),"",IF($H243&gt;0,$D243+ROW()/100000,""))</f>
        <v/>
      </c>
    </row>
    <row r="244">
      <c r="A244" s="4" t="n"/>
      <c r="B244" s="8">
        <f>IF($A244="","",IFERROR(INDEX('Items'!$B$3:$B$202,MATCH($A244,'Items'!$A$3:$A$202,0)),""))</f>
        <v/>
      </c>
      <c r="C244" s="4" t="n"/>
      <c r="D244" s="5" t="n"/>
      <c r="E244" s="6" t="n"/>
      <c r="F244" s="5" t="n"/>
      <c r="G244" s="4" t="n"/>
      <c r="H244" s="16">
        <f>IF($A244="","",$E244-SUMIFS('Movements'!$F$3:$F$1002,'Movements'!$B$3:$B$1002,$A244,'Movements'!$D$3:$D$1002,$C244,'Movements'!$E$3:$E$1002,"Out")-SUMIFS('Movements'!$F$3:$F$1002,'Movements'!$B$3:$B$1002,$A244,'Movements'!$D$3:$D$1002,$C244,'Movements'!$E$3:$E$1002,"Waste")+SUMIFS('Movements'!$F$3:$F$1002,'Movements'!$B$3:$B$1002,$A244,'Movements'!$D$3:$D$1002,$C244,'Movements'!$E$3:$E$1002,"In"))</f>
        <v/>
      </c>
      <c r="I244" s="16">
        <f>IF(OR($A244="",$D244=""),"",$D244-'Settings'!$B$6)</f>
        <v/>
      </c>
      <c r="J244" s="8">
        <f>IF(OR($A244="",$D244=""),"",IF($H244&gt;0,$D244+ROW()/100000,""))</f>
        <v/>
      </c>
    </row>
    <row r="245">
      <c r="A245" s="4" t="n"/>
      <c r="B245" s="8">
        <f>IF($A245="","",IFERROR(INDEX('Items'!$B$3:$B$202,MATCH($A245,'Items'!$A$3:$A$202,0)),""))</f>
        <v/>
      </c>
      <c r="C245" s="4" t="n"/>
      <c r="D245" s="5" t="n"/>
      <c r="E245" s="6" t="n"/>
      <c r="F245" s="5" t="n"/>
      <c r="G245" s="4" t="n"/>
      <c r="H245" s="16">
        <f>IF($A245="","",$E245-SUMIFS('Movements'!$F$3:$F$1002,'Movements'!$B$3:$B$1002,$A245,'Movements'!$D$3:$D$1002,$C245,'Movements'!$E$3:$E$1002,"Out")-SUMIFS('Movements'!$F$3:$F$1002,'Movements'!$B$3:$B$1002,$A245,'Movements'!$D$3:$D$1002,$C245,'Movements'!$E$3:$E$1002,"Waste")+SUMIFS('Movements'!$F$3:$F$1002,'Movements'!$B$3:$B$1002,$A245,'Movements'!$D$3:$D$1002,$C245,'Movements'!$E$3:$E$1002,"In"))</f>
        <v/>
      </c>
      <c r="I245" s="16">
        <f>IF(OR($A245="",$D245=""),"",$D245-'Settings'!$B$6)</f>
        <v/>
      </c>
      <c r="J245" s="8">
        <f>IF(OR($A245="",$D245=""),"",IF($H245&gt;0,$D245+ROW()/100000,""))</f>
        <v/>
      </c>
    </row>
    <row r="246">
      <c r="A246" s="4" t="n"/>
      <c r="B246" s="8">
        <f>IF($A246="","",IFERROR(INDEX('Items'!$B$3:$B$202,MATCH($A246,'Items'!$A$3:$A$202,0)),""))</f>
        <v/>
      </c>
      <c r="C246" s="4" t="n"/>
      <c r="D246" s="5" t="n"/>
      <c r="E246" s="6" t="n"/>
      <c r="F246" s="5" t="n"/>
      <c r="G246" s="4" t="n"/>
      <c r="H246" s="16">
        <f>IF($A246="","",$E246-SUMIFS('Movements'!$F$3:$F$1002,'Movements'!$B$3:$B$1002,$A246,'Movements'!$D$3:$D$1002,$C246,'Movements'!$E$3:$E$1002,"Out")-SUMIFS('Movements'!$F$3:$F$1002,'Movements'!$B$3:$B$1002,$A246,'Movements'!$D$3:$D$1002,$C246,'Movements'!$E$3:$E$1002,"Waste")+SUMIFS('Movements'!$F$3:$F$1002,'Movements'!$B$3:$B$1002,$A246,'Movements'!$D$3:$D$1002,$C246,'Movements'!$E$3:$E$1002,"In"))</f>
        <v/>
      </c>
      <c r="I246" s="16">
        <f>IF(OR($A246="",$D246=""),"",$D246-'Settings'!$B$6)</f>
        <v/>
      </c>
      <c r="J246" s="8">
        <f>IF(OR($A246="",$D246=""),"",IF($H246&gt;0,$D246+ROW()/100000,""))</f>
        <v/>
      </c>
    </row>
    <row r="247">
      <c r="A247" s="4" t="n"/>
      <c r="B247" s="8">
        <f>IF($A247="","",IFERROR(INDEX('Items'!$B$3:$B$202,MATCH($A247,'Items'!$A$3:$A$202,0)),""))</f>
        <v/>
      </c>
      <c r="C247" s="4" t="n"/>
      <c r="D247" s="5" t="n"/>
      <c r="E247" s="6" t="n"/>
      <c r="F247" s="5" t="n"/>
      <c r="G247" s="4" t="n"/>
      <c r="H247" s="16">
        <f>IF($A247="","",$E247-SUMIFS('Movements'!$F$3:$F$1002,'Movements'!$B$3:$B$1002,$A247,'Movements'!$D$3:$D$1002,$C247,'Movements'!$E$3:$E$1002,"Out")-SUMIFS('Movements'!$F$3:$F$1002,'Movements'!$B$3:$B$1002,$A247,'Movements'!$D$3:$D$1002,$C247,'Movements'!$E$3:$E$1002,"Waste")+SUMIFS('Movements'!$F$3:$F$1002,'Movements'!$B$3:$B$1002,$A247,'Movements'!$D$3:$D$1002,$C247,'Movements'!$E$3:$E$1002,"In"))</f>
        <v/>
      </c>
      <c r="I247" s="16">
        <f>IF(OR($A247="",$D247=""),"",$D247-'Settings'!$B$6)</f>
        <v/>
      </c>
      <c r="J247" s="8">
        <f>IF(OR($A247="",$D247=""),"",IF($H247&gt;0,$D247+ROW()/100000,""))</f>
        <v/>
      </c>
    </row>
    <row r="248">
      <c r="A248" s="4" t="n"/>
      <c r="B248" s="8">
        <f>IF($A248="","",IFERROR(INDEX('Items'!$B$3:$B$202,MATCH($A248,'Items'!$A$3:$A$202,0)),""))</f>
        <v/>
      </c>
      <c r="C248" s="4" t="n"/>
      <c r="D248" s="5" t="n"/>
      <c r="E248" s="6" t="n"/>
      <c r="F248" s="5" t="n"/>
      <c r="G248" s="4" t="n"/>
      <c r="H248" s="16">
        <f>IF($A248="","",$E248-SUMIFS('Movements'!$F$3:$F$1002,'Movements'!$B$3:$B$1002,$A248,'Movements'!$D$3:$D$1002,$C248,'Movements'!$E$3:$E$1002,"Out")-SUMIFS('Movements'!$F$3:$F$1002,'Movements'!$B$3:$B$1002,$A248,'Movements'!$D$3:$D$1002,$C248,'Movements'!$E$3:$E$1002,"Waste")+SUMIFS('Movements'!$F$3:$F$1002,'Movements'!$B$3:$B$1002,$A248,'Movements'!$D$3:$D$1002,$C248,'Movements'!$E$3:$E$1002,"In"))</f>
        <v/>
      </c>
      <c r="I248" s="16">
        <f>IF(OR($A248="",$D248=""),"",$D248-'Settings'!$B$6)</f>
        <v/>
      </c>
      <c r="J248" s="8">
        <f>IF(OR($A248="",$D248=""),"",IF($H248&gt;0,$D248+ROW()/100000,""))</f>
        <v/>
      </c>
    </row>
    <row r="249">
      <c r="A249" s="4" t="n"/>
      <c r="B249" s="8">
        <f>IF($A249="","",IFERROR(INDEX('Items'!$B$3:$B$202,MATCH($A249,'Items'!$A$3:$A$202,0)),""))</f>
        <v/>
      </c>
      <c r="C249" s="4" t="n"/>
      <c r="D249" s="5" t="n"/>
      <c r="E249" s="6" t="n"/>
      <c r="F249" s="5" t="n"/>
      <c r="G249" s="4" t="n"/>
      <c r="H249" s="16">
        <f>IF($A249="","",$E249-SUMIFS('Movements'!$F$3:$F$1002,'Movements'!$B$3:$B$1002,$A249,'Movements'!$D$3:$D$1002,$C249,'Movements'!$E$3:$E$1002,"Out")-SUMIFS('Movements'!$F$3:$F$1002,'Movements'!$B$3:$B$1002,$A249,'Movements'!$D$3:$D$1002,$C249,'Movements'!$E$3:$E$1002,"Waste")+SUMIFS('Movements'!$F$3:$F$1002,'Movements'!$B$3:$B$1002,$A249,'Movements'!$D$3:$D$1002,$C249,'Movements'!$E$3:$E$1002,"In"))</f>
        <v/>
      </c>
      <c r="I249" s="16">
        <f>IF(OR($A249="",$D249=""),"",$D249-'Settings'!$B$6)</f>
        <v/>
      </c>
      <c r="J249" s="8">
        <f>IF(OR($A249="",$D249=""),"",IF($H249&gt;0,$D249+ROW()/100000,""))</f>
        <v/>
      </c>
    </row>
    <row r="250">
      <c r="A250" s="4" t="n"/>
      <c r="B250" s="8">
        <f>IF($A250="","",IFERROR(INDEX('Items'!$B$3:$B$202,MATCH($A250,'Items'!$A$3:$A$202,0)),""))</f>
        <v/>
      </c>
      <c r="C250" s="4" t="n"/>
      <c r="D250" s="5" t="n"/>
      <c r="E250" s="6" t="n"/>
      <c r="F250" s="5" t="n"/>
      <c r="G250" s="4" t="n"/>
      <c r="H250" s="16">
        <f>IF($A250="","",$E250-SUMIFS('Movements'!$F$3:$F$1002,'Movements'!$B$3:$B$1002,$A250,'Movements'!$D$3:$D$1002,$C250,'Movements'!$E$3:$E$1002,"Out")-SUMIFS('Movements'!$F$3:$F$1002,'Movements'!$B$3:$B$1002,$A250,'Movements'!$D$3:$D$1002,$C250,'Movements'!$E$3:$E$1002,"Waste")+SUMIFS('Movements'!$F$3:$F$1002,'Movements'!$B$3:$B$1002,$A250,'Movements'!$D$3:$D$1002,$C250,'Movements'!$E$3:$E$1002,"In"))</f>
        <v/>
      </c>
      <c r="I250" s="16">
        <f>IF(OR($A250="",$D250=""),"",$D250-'Settings'!$B$6)</f>
        <v/>
      </c>
      <c r="J250" s="8">
        <f>IF(OR($A250="",$D250=""),"",IF($H250&gt;0,$D250+ROW()/100000,""))</f>
        <v/>
      </c>
    </row>
    <row r="251">
      <c r="A251" s="4" t="n"/>
      <c r="B251" s="8">
        <f>IF($A251="","",IFERROR(INDEX('Items'!$B$3:$B$202,MATCH($A251,'Items'!$A$3:$A$202,0)),""))</f>
        <v/>
      </c>
      <c r="C251" s="4" t="n"/>
      <c r="D251" s="5" t="n"/>
      <c r="E251" s="6" t="n"/>
      <c r="F251" s="5" t="n"/>
      <c r="G251" s="4" t="n"/>
      <c r="H251" s="16">
        <f>IF($A251="","",$E251-SUMIFS('Movements'!$F$3:$F$1002,'Movements'!$B$3:$B$1002,$A251,'Movements'!$D$3:$D$1002,$C251,'Movements'!$E$3:$E$1002,"Out")-SUMIFS('Movements'!$F$3:$F$1002,'Movements'!$B$3:$B$1002,$A251,'Movements'!$D$3:$D$1002,$C251,'Movements'!$E$3:$E$1002,"Waste")+SUMIFS('Movements'!$F$3:$F$1002,'Movements'!$B$3:$B$1002,$A251,'Movements'!$D$3:$D$1002,$C251,'Movements'!$E$3:$E$1002,"In"))</f>
        <v/>
      </c>
      <c r="I251" s="16">
        <f>IF(OR($A251="",$D251=""),"",$D251-'Settings'!$B$6)</f>
        <v/>
      </c>
      <c r="J251" s="8">
        <f>IF(OR($A251="",$D251=""),"",IF($H251&gt;0,$D251+ROW()/100000,""))</f>
        <v/>
      </c>
    </row>
    <row r="252">
      <c r="A252" s="4" t="n"/>
      <c r="B252" s="8">
        <f>IF($A252="","",IFERROR(INDEX('Items'!$B$3:$B$202,MATCH($A252,'Items'!$A$3:$A$202,0)),""))</f>
        <v/>
      </c>
      <c r="C252" s="4" t="n"/>
      <c r="D252" s="5" t="n"/>
      <c r="E252" s="6" t="n"/>
      <c r="F252" s="5" t="n"/>
      <c r="G252" s="4" t="n"/>
      <c r="H252" s="16">
        <f>IF($A252="","",$E252-SUMIFS('Movements'!$F$3:$F$1002,'Movements'!$B$3:$B$1002,$A252,'Movements'!$D$3:$D$1002,$C252,'Movements'!$E$3:$E$1002,"Out")-SUMIFS('Movements'!$F$3:$F$1002,'Movements'!$B$3:$B$1002,$A252,'Movements'!$D$3:$D$1002,$C252,'Movements'!$E$3:$E$1002,"Waste")+SUMIFS('Movements'!$F$3:$F$1002,'Movements'!$B$3:$B$1002,$A252,'Movements'!$D$3:$D$1002,$C252,'Movements'!$E$3:$E$1002,"In"))</f>
        <v/>
      </c>
      <c r="I252" s="16">
        <f>IF(OR($A252="",$D252=""),"",$D252-'Settings'!$B$6)</f>
        <v/>
      </c>
      <c r="J252" s="8">
        <f>IF(OR($A252="",$D252=""),"",IF($H252&gt;0,$D252+ROW()/100000,""))</f>
        <v/>
      </c>
    </row>
    <row r="253">
      <c r="A253" s="4" t="n"/>
      <c r="B253" s="8">
        <f>IF($A253="","",IFERROR(INDEX('Items'!$B$3:$B$202,MATCH($A253,'Items'!$A$3:$A$202,0)),""))</f>
        <v/>
      </c>
      <c r="C253" s="4" t="n"/>
      <c r="D253" s="5" t="n"/>
      <c r="E253" s="6" t="n"/>
      <c r="F253" s="5" t="n"/>
      <c r="G253" s="4" t="n"/>
      <c r="H253" s="16">
        <f>IF($A253="","",$E253-SUMIFS('Movements'!$F$3:$F$1002,'Movements'!$B$3:$B$1002,$A253,'Movements'!$D$3:$D$1002,$C253,'Movements'!$E$3:$E$1002,"Out")-SUMIFS('Movements'!$F$3:$F$1002,'Movements'!$B$3:$B$1002,$A253,'Movements'!$D$3:$D$1002,$C253,'Movements'!$E$3:$E$1002,"Waste")+SUMIFS('Movements'!$F$3:$F$1002,'Movements'!$B$3:$B$1002,$A253,'Movements'!$D$3:$D$1002,$C253,'Movements'!$E$3:$E$1002,"In"))</f>
        <v/>
      </c>
      <c r="I253" s="16">
        <f>IF(OR($A253="",$D253=""),"",$D253-'Settings'!$B$6)</f>
        <v/>
      </c>
      <c r="J253" s="8">
        <f>IF(OR($A253="",$D253=""),"",IF($H253&gt;0,$D253+ROW()/100000,""))</f>
        <v/>
      </c>
    </row>
    <row r="254">
      <c r="A254" s="4" t="n"/>
      <c r="B254" s="8">
        <f>IF($A254="","",IFERROR(INDEX('Items'!$B$3:$B$202,MATCH($A254,'Items'!$A$3:$A$202,0)),""))</f>
        <v/>
      </c>
      <c r="C254" s="4" t="n"/>
      <c r="D254" s="5" t="n"/>
      <c r="E254" s="6" t="n"/>
      <c r="F254" s="5" t="n"/>
      <c r="G254" s="4" t="n"/>
      <c r="H254" s="16">
        <f>IF($A254="","",$E254-SUMIFS('Movements'!$F$3:$F$1002,'Movements'!$B$3:$B$1002,$A254,'Movements'!$D$3:$D$1002,$C254,'Movements'!$E$3:$E$1002,"Out")-SUMIFS('Movements'!$F$3:$F$1002,'Movements'!$B$3:$B$1002,$A254,'Movements'!$D$3:$D$1002,$C254,'Movements'!$E$3:$E$1002,"Waste")+SUMIFS('Movements'!$F$3:$F$1002,'Movements'!$B$3:$B$1002,$A254,'Movements'!$D$3:$D$1002,$C254,'Movements'!$E$3:$E$1002,"In"))</f>
        <v/>
      </c>
      <c r="I254" s="16">
        <f>IF(OR($A254="",$D254=""),"",$D254-'Settings'!$B$6)</f>
        <v/>
      </c>
      <c r="J254" s="8">
        <f>IF(OR($A254="",$D254=""),"",IF($H254&gt;0,$D254+ROW()/100000,""))</f>
        <v/>
      </c>
    </row>
    <row r="255">
      <c r="A255" s="4" t="n"/>
      <c r="B255" s="8">
        <f>IF($A255="","",IFERROR(INDEX('Items'!$B$3:$B$202,MATCH($A255,'Items'!$A$3:$A$202,0)),""))</f>
        <v/>
      </c>
      <c r="C255" s="4" t="n"/>
      <c r="D255" s="5" t="n"/>
      <c r="E255" s="6" t="n"/>
      <c r="F255" s="5" t="n"/>
      <c r="G255" s="4" t="n"/>
      <c r="H255" s="16">
        <f>IF($A255="","",$E255-SUMIFS('Movements'!$F$3:$F$1002,'Movements'!$B$3:$B$1002,$A255,'Movements'!$D$3:$D$1002,$C255,'Movements'!$E$3:$E$1002,"Out")-SUMIFS('Movements'!$F$3:$F$1002,'Movements'!$B$3:$B$1002,$A255,'Movements'!$D$3:$D$1002,$C255,'Movements'!$E$3:$E$1002,"Waste")+SUMIFS('Movements'!$F$3:$F$1002,'Movements'!$B$3:$B$1002,$A255,'Movements'!$D$3:$D$1002,$C255,'Movements'!$E$3:$E$1002,"In"))</f>
        <v/>
      </c>
      <c r="I255" s="16">
        <f>IF(OR($A255="",$D255=""),"",$D255-'Settings'!$B$6)</f>
        <v/>
      </c>
      <c r="J255" s="8">
        <f>IF(OR($A255="",$D255=""),"",IF($H255&gt;0,$D255+ROW()/100000,""))</f>
        <v/>
      </c>
    </row>
    <row r="256">
      <c r="A256" s="4" t="n"/>
      <c r="B256" s="8">
        <f>IF($A256="","",IFERROR(INDEX('Items'!$B$3:$B$202,MATCH($A256,'Items'!$A$3:$A$202,0)),""))</f>
        <v/>
      </c>
      <c r="C256" s="4" t="n"/>
      <c r="D256" s="5" t="n"/>
      <c r="E256" s="6" t="n"/>
      <c r="F256" s="5" t="n"/>
      <c r="G256" s="4" t="n"/>
      <c r="H256" s="16">
        <f>IF($A256="","",$E256-SUMIFS('Movements'!$F$3:$F$1002,'Movements'!$B$3:$B$1002,$A256,'Movements'!$D$3:$D$1002,$C256,'Movements'!$E$3:$E$1002,"Out")-SUMIFS('Movements'!$F$3:$F$1002,'Movements'!$B$3:$B$1002,$A256,'Movements'!$D$3:$D$1002,$C256,'Movements'!$E$3:$E$1002,"Waste")+SUMIFS('Movements'!$F$3:$F$1002,'Movements'!$B$3:$B$1002,$A256,'Movements'!$D$3:$D$1002,$C256,'Movements'!$E$3:$E$1002,"In"))</f>
        <v/>
      </c>
      <c r="I256" s="16">
        <f>IF(OR($A256="",$D256=""),"",$D256-'Settings'!$B$6)</f>
        <v/>
      </c>
      <c r="J256" s="8">
        <f>IF(OR($A256="",$D256=""),"",IF($H256&gt;0,$D256+ROW()/100000,""))</f>
        <v/>
      </c>
    </row>
    <row r="257">
      <c r="A257" s="4" t="n"/>
      <c r="B257" s="8">
        <f>IF($A257="","",IFERROR(INDEX('Items'!$B$3:$B$202,MATCH($A257,'Items'!$A$3:$A$202,0)),""))</f>
        <v/>
      </c>
      <c r="C257" s="4" t="n"/>
      <c r="D257" s="5" t="n"/>
      <c r="E257" s="6" t="n"/>
      <c r="F257" s="5" t="n"/>
      <c r="G257" s="4" t="n"/>
      <c r="H257" s="16">
        <f>IF($A257="","",$E257-SUMIFS('Movements'!$F$3:$F$1002,'Movements'!$B$3:$B$1002,$A257,'Movements'!$D$3:$D$1002,$C257,'Movements'!$E$3:$E$1002,"Out")-SUMIFS('Movements'!$F$3:$F$1002,'Movements'!$B$3:$B$1002,$A257,'Movements'!$D$3:$D$1002,$C257,'Movements'!$E$3:$E$1002,"Waste")+SUMIFS('Movements'!$F$3:$F$1002,'Movements'!$B$3:$B$1002,$A257,'Movements'!$D$3:$D$1002,$C257,'Movements'!$E$3:$E$1002,"In"))</f>
        <v/>
      </c>
      <c r="I257" s="16">
        <f>IF(OR($A257="",$D257=""),"",$D257-'Settings'!$B$6)</f>
        <v/>
      </c>
      <c r="J257" s="8">
        <f>IF(OR($A257="",$D257=""),"",IF($H257&gt;0,$D257+ROW()/100000,""))</f>
        <v/>
      </c>
    </row>
    <row r="258">
      <c r="A258" s="4" t="n"/>
      <c r="B258" s="8">
        <f>IF($A258="","",IFERROR(INDEX('Items'!$B$3:$B$202,MATCH($A258,'Items'!$A$3:$A$202,0)),""))</f>
        <v/>
      </c>
      <c r="C258" s="4" t="n"/>
      <c r="D258" s="5" t="n"/>
      <c r="E258" s="6" t="n"/>
      <c r="F258" s="5" t="n"/>
      <c r="G258" s="4" t="n"/>
      <c r="H258" s="16">
        <f>IF($A258="","",$E258-SUMIFS('Movements'!$F$3:$F$1002,'Movements'!$B$3:$B$1002,$A258,'Movements'!$D$3:$D$1002,$C258,'Movements'!$E$3:$E$1002,"Out")-SUMIFS('Movements'!$F$3:$F$1002,'Movements'!$B$3:$B$1002,$A258,'Movements'!$D$3:$D$1002,$C258,'Movements'!$E$3:$E$1002,"Waste")+SUMIFS('Movements'!$F$3:$F$1002,'Movements'!$B$3:$B$1002,$A258,'Movements'!$D$3:$D$1002,$C258,'Movements'!$E$3:$E$1002,"In"))</f>
        <v/>
      </c>
      <c r="I258" s="16">
        <f>IF(OR($A258="",$D258=""),"",$D258-'Settings'!$B$6)</f>
        <v/>
      </c>
      <c r="J258" s="8">
        <f>IF(OR($A258="",$D258=""),"",IF($H258&gt;0,$D258+ROW()/100000,""))</f>
        <v/>
      </c>
    </row>
    <row r="259">
      <c r="A259" s="4" t="n"/>
      <c r="B259" s="8">
        <f>IF($A259="","",IFERROR(INDEX('Items'!$B$3:$B$202,MATCH($A259,'Items'!$A$3:$A$202,0)),""))</f>
        <v/>
      </c>
      <c r="C259" s="4" t="n"/>
      <c r="D259" s="5" t="n"/>
      <c r="E259" s="6" t="n"/>
      <c r="F259" s="5" t="n"/>
      <c r="G259" s="4" t="n"/>
      <c r="H259" s="16">
        <f>IF($A259="","",$E259-SUMIFS('Movements'!$F$3:$F$1002,'Movements'!$B$3:$B$1002,$A259,'Movements'!$D$3:$D$1002,$C259,'Movements'!$E$3:$E$1002,"Out")-SUMIFS('Movements'!$F$3:$F$1002,'Movements'!$B$3:$B$1002,$A259,'Movements'!$D$3:$D$1002,$C259,'Movements'!$E$3:$E$1002,"Waste")+SUMIFS('Movements'!$F$3:$F$1002,'Movements'!$B$3:$B$1002,$A259,'Movements'!$D$3:$D$1002,$C259,'Movements'!$E$3:$E$1002,"In"))</f>
        <v/>
      </c>
      <c r="I259" s="16">
        <f>IF(OR($A259="",$D259=""),"",$D259-'Settings'!$B$6)</f>
        <v/>
      </c>
      <c r="J259" s="8">
        <f>IF(OR($A259="",$D259=""),"",IF($H259&gt;0,$D259+ROW()/100000,""))</f>
        <v/>
      </c>
    </row>
    <row r="260">
      <c r="A260" s="4" t="n"/>
      <c r="B260" s="8">
        <f>IF($A260="","",IFERROR(INDEX('Items'!$B$3:$B$202,MATCH($A260,'Items'!$A$3:$A$202,0)),""))</f>
        <v/>
      </c>
      <c r="C260" s="4" t="n"/>
      <c r="D260" s="5" t="n"/>
      <c r="E260" s="6" t="n"/>
      <c r="F260" s="5" t="n"/>
      <c r="G260" s="4" t="n"/>
      <c r="H260" s="16">
        <f>IF($A260="","",$E260-SUMIFS('Movements'!$F$3:$F$1002,'Movements'!$B$3:$B$1002,$A260,'Movements'!$D$3:$D$1002,$C260,'Movements'!$E$3:$E$1002,"Out")-SUMIFS('Movements'!$F$3:$F$1002,'Movements'!$B$3:$B$1002,$A260,'Movements'!$D$3:$D$1002,$C260,'Movements'!$E$3:$E$1002,"Waste")+SUMIFS('Movements'!$F$3:$F$1002,'Movements'!$B$3:$B$1002,$A260,'Movements'!$D$3:$D$1002,$C260,'Movements'!$E$3:$E$1002,"In"))</f>
        <v/>
      </c>
      <c r="I260" s="16">
        <f>IF(OR($A260="",$D260=""),"",$D260-'Settings'!$B$6)</f>
        <v/>
      </c>
      <c r="J260" s="8">
        <f>IF(OR($A260="",$D260=""),"",IF($H260&gt;0,$D260+ROW()/100000,""))</f>
        <v/>
      </c>
    </row>
    <row r="261">
      <c r="A261" s="4" t="n"/>
      <c r="B261" s="8">
        <f>IF($A261="","",IFERROR(INDEX('Items'!$B$3:$B$202,MATCH($A261,'Items'!$A$3:$A$202,0)),""))</f>
        <v/>
      </c>
      <c r="C261" s="4" t="n"/>
      <c r="D261" s="5" t="n"/>
      <c r="E261" s="6" t="n"/>
      <c r="F261" s="5" t="n"/>
      <c r="G261" s="4" t="n"/>
      <c r="H261" s="16">
        <f>IF($A261="","",$E261-SUMIFS('Movements'!$F$3:$F$1002,'Movements'!$B$3:$B$1002,$A261,'Movements'!$D$3:$D$1002,$C261,'Movements'!$E$3:$E$1002,"Out")-SUMIFS('Movements'!$F$3:$F$1002,'Movements'!$B$3:$B$1002,$A261,'Movements'!$D$3:$D$1002,$C261,'Movements'!$E$3:$E$1002,"Waste")+SUMIFS('Movements'!$F$3:$F$1002,'Movements'!$B$3:$B$1002,$A261,'Movements'!$D$3:$D$1002,$C261,'Movements'!$E$3:$E$1002,"In"))</f>
        <v/>
      </c>
      <c r="I261" s="16">
        <f>IF(OR($A261="",$D261=""),"",$D261-'Settings'!$B$6)</f>
        <v/>
      </c>
      <c r="J261" s="8">
        <f>IF(OR($A261="",$D261=""),"",IF($H261&gt;0,$D261+ROW()/100000,""))</f>
        <v/>
      </c>
    </row>
    <row r="262">
      <c r="A262" s="4" t="n"/>
      <c r="B262" s="8">
        <f>IF($A262="","",IFERROR(INDEX('Items'!$B$3:$B$202,MATCH($A262,'Items'!$A$3:$A$202,0)),""))</f>
        <v/>
      </c>
      <c r="C262" s="4" t="n"/>
      <c r="D262" s="5" t="n"/>
      <c r="E262" s="6" t="n"/>
      <c r="F262" s="5" t="n"/>
      <c r="G262" s="4" t="n"/>
      <c r="H262" s="16">
        <f>IF($A262="","",$E262-SUMIFS('Movements'!$F$3:$F$1002,'Movements'!$B$3:$B$1002,$A262,'Movements'!$D$3:$D$1002,$C262,'Movements'!$E$3:$E$1002,"Out")-SUMIFS('Movements'!$F$3:$F$1002,'Movements'!$B$3:$B$1002,$A262,'Movements'!$D$3:$D$1002,$C262,'Movements'!$E$3:$E$1002,"Waste")+SUMIFS('Movements'!$F$3:$F$1002,'Movements'!$B$3:$B$1002,$A262,'Movements'!$D$3:$D$1002,$C262,'Movements'!$E$3:$E$1002,"In"))</f>
        <v/>
      </c>
      <c r="I262" s="16">
        <f>IF(OR($A262="",$D262=""),"",$D262-'Settings'!$B$6)</f>
        <v/>
      </c>
      <c r="J262" s="8">
        <f>IF(OR($A262="",$D262=""),"",IF($H262&gt;0,$D262+ROW()/100000,""))</f>
        <v/>
      </c>
    </row>
    <row r="263">
      <c r="A263" s="4" t="n"/>
      <c r="B263" s="8">
        <f>IF($A263="","",IFERROR(INDEX('Items'!$B$3:$B$202,MATCH($A263,'Items'!$A$3:$A$202,0)),""))</f>
        <v/>
      </c>
      <c r="C263" s="4" t="n"/>
      <c r="D263" s="5" t="n"/>
      <c r="E263" s="6" t="n"/>
      <c r="F263" s="5" t="n"/>
      <c r="G263" s="4" t="n"/>
      <c r="H263" s="16">
        <f>IF($A263="","",$E263-SUMIFS('Movements'!$F$3:$F$1002,'Movements'!$B$3:$B$1002,$A263,'Movements'!$D$3:$D$1002,$C263,'Movements'!$E$3:$E$1002,"Out")-SUMIFS('Movements'!$F$3:$F$1002,'Movements'!$B$3:$B$1002,$A263,'Movements'!$D$3:$D$1002,$C263,'Movements'!$E$3:$E$1002,"Waste")+SUMIFS('Movements'!$F$3:$F$1002,'Movements'!$B$3:$B$1002,$A263,'Movements'!$D$3:$D$1002,$C263,'Movements'!$E$3:$E$1002,"In"))</f>
        <v/>
      </c>
      <c r="I263" s="16">
        <f>IF(OR($A263="",$D263=""),"",$D263-'Settings'!$B$6)</f>
        <v/>
      </c>
      <c r="J263" s="8">
        <f>IF(OR($A263="",$D263=""),"",IF($H263&gt;0,$D263+ROW()/100000,""))</f>
        <v/>
      </c>
    </row>
    <row r="264">
      <c r="A264" s="4" t="n"/>
      <c r="B264" s="8">
        <f>IF($A264="","",IFERROR(INDEX('Items'!$B$3:$B$202,MATCH($A264,'Items'!$A$3:$A$202,0)),""))</f>
        <v/>
      </c>
      <c r="C264" s="4" t="n"/>
      <c r="D264" s="5" t="n"/>
      <c r="E264" s="6" t="n"/>
      <c r="F264" s="5" t="n"/>
      <c r="G264" s="4" t="n"/>
      <c r="H264" s="16">
        <f>IF($A264="","",$E264-SUMIFS('Movements'!$F$3:$F$1002,'Movements'!$B$3:$B$1002,$A264,'Movements'!$D$3:$D$1002,$C264,'Movements'!$E$3:$E$1002,"Out")-SUMIFS('Movements'!$F$3:$F$1002,'Movements'!$B$3:$B$1002,$A264,'Movements'!$D$3:$D$1002,$C264,'Movements'!$E$3:$E$1002,"Waste")+SUMIFS('Movements'!$F$3:$F$1002,'Movements'!$B$3:$B$1002,$A264,'Movements'!$D$3:$D$1002,$C264,'Movements'!$E$3:$E$1002,"In"))</f>
        <v/>
      </c>
      <c r="I264" s="16">
        <f>IF(OR($A264="",$D264=""),"",$D264-'Settings'!$B$6)</f>
        <v/>
      </c>
      <c r="J264" s="8">
        <f>IF(OR($A264="",$D264=""),"",IF($H264&gt;0,$D264+ROW()/100000,""))</f>
        <v/>
      </c>
    </row>
    <row r="265">
      <c r="A265" s="4" t="n"/>
      <c r="B265" s="8">
        <f>IF($A265="","",IFERROR(INDEX('Items'!$B$3:$B$202,MATCH($A265,'Items'!$A$3:$A$202,0)),""))</f>
        <v/>
      </c>
      <c r="C265" s="4" t="n"/>
      <c r="D265" s="5" t="n"/>
      <c r="E265" s="6" t="n"/>
      <c r="F265" s="5" t="n"/>
      <c r="G265" s="4" t="n"/>
      <c r="H265" s="16">
        <f>IF($A265="","",$E265-SUMIFS('Movements'!$F$3:$F$1002,'Movements'!$B$3:$B$1002,$A265,'Movements'!$D$3:$D$1002,$C265,'Movements'!$E$3:$E$1002,"Out")-SUMIFS('Movements'!$F$3:$F$1002,'Movements'!$B$3:$B$1002,$A265,'Movements'!$D$3:$D$1002,$C265,'Movements'!$E$3:$E$1002,"Waste")+SUMIFS('Movements'!$F$3:$F$1002,'Movements'!$B$3:$B$1002,$A265,'Movements'!$D$3:$D$1002,$C265,'Movements'!$E$3:$E$1002,"In"))</f>
        <v/>
      </c>
      <c r="I265" s="16">
        <f>IF(OR($A265="",$D265=""),"",$D265-'Settings'!$B$6)</f>
        <v/>
      </c>
      <c r="J265" s="8">
        <f>IF(OR($A265="",$D265=""),"",IF($H265&gt;0,$D265+ROW()/100000,""))</f>
        <v/>
      </c>
    </row>
    <row r="266">
      <c r="A266" s="4" t="n"/>
      <c r="B266" s="8">
        <f>IF($A266="","",IFERROR(INDEX('Items'!$B$3:$B$202,MATCH($A266,'Items'!$A$3:$A$202,0)),""))</f>
        <v/>
      </c>
      <c r="C266" s="4" t="n"/>
      <c r="D266" s="5" t="n"/>
      <c r="E266" s="6" t="n"/>
      <c r="F266" s="5" t="n"/>
      <c r="G266" s="4" t="n"/>
      <c r="H266" s="16">
        <f>IF($A266="","",$E266-SUMIFS('Movements'!$F$3:$F$1002,'Movements'!$B$3:$B$1002,$A266,'Movements'!$D$3:$D$1002,$C266,'Movements'!$E$3:$E$1002,"Out")-SUMIFS('Movements'!$F$3:$F$1002,'Movements'!$B$3:$B$1002,$A266,'Movements'!$D$3:$D$1002,$C266,'Movements'!$E$3:$E$1002,"Waste")+SUMIFS('Movements'!$F$3:$F$1002,'Movements'!$B$3:$B$1002,$A266,'Movements'!$D$3:$D$1002,$C266,'Movements'!$E$3:$E$1002,"In"))</f>
        <v/>
      </c>
      <c r="I266" s="16">
        <f>IF(OR($A266="",$D266=""),"",$D266-'Settings'!$B$6)</f>
        <v/>
      </c>
      <c r="J266" s="8">
        <f>IF(OR($A266="",$D266=""),"",IF($H266&gt;0,$D266+ROW()/100000,""))</f>
        <v/>
      </c>
    </row>
    <row r="267">
      <c r="A267" s="4" t="n"/>
      <c r="B267" s="8">
        <f>IF($A267="","",IFERROR(INDEX('Items'!$B$3:$B$202,MATCH($A267,'Items'!$A$3:$A$202,0)),""))</f>
        <v/>
      </c>
      <c r="C267" s="4" t="n"/>
      <c r="D267" s="5" t="n"/>
      <c r="E267" s="6" t="n"/>
      <c r="F267" s="5" t="n"/>
      <c r="G267" s="4" t="n"/>
      <c r="H267" s="16">
        <f>IF($A267="","",$E267-SUMIFS('Movements'!$F$3:$F$1002,'Movements'!$B$3:$B$1002,$A267,'Movements'!$D$3:$D$1002,$C267,'Movements'!$E$3:$E$1002,"Out")-SUMIFS('Movements'!$F$3:$F$1002,'Movements'!$B$3:$B$1002,$A267,'Movements'!$D$3:$D$1002,$C267,'Movements'!$E$3:$E$1002,"Waste")+SUMIFS('Movements'!$F$3:$F$1002,'Movements'!$B$3:$B$1002,$A267,'Movements'!$D$3:$D$1002,$C267,'Movements'!$E$3:$E$1002,"In"))</f>
        <v/>
      </c>
      <c r="I267" s="16">
        <f>IF(OR($A267="",$D267=""),"",$D267-'Settings'!$B$6)</f>
        <v/>
      </c>
      <c r="J267" s="8">
        <f>IF(OR($A267="",$D267=""),"",IF($H267&gt;0,$D267+ROW()/100000,""))</f>
        <v/>
      </c>
    </row>
    <row r="268">
      <c r="A268" s="4" t="n"/>
      <c r="B268" s="8">
        <f>IF($A268="","",IFERROR(INDEX('Items'!$B$3:$B$202,MATCH($A268,'Items'!$A$3:$A$202,0)),""))</f>
        <v/>
      </c>
      <c r="C268" s="4" t="n"/>
      <c r="D268" s="5" t="n"/>
      <c r="E268" s="6" t="n"/>
      <c r="F268" s="5" t="n"/>
      <c r="G268" s="4" t="n"/>
      <c r="H268" s="16">
        <f>IF($A268="","",$E268-SUMIFS('Movements'!$F$3:$F$1002,'Movements'!$B$3:$B$1002,$A268,'Movements'!$D$3:$D$1002,$C268,'Movements'!$E$3:$E$1002,"Out")-SUMIFS('Movements'!$F$3:$F$1002,'Movements'!$B$3:$B$1002,$A268,'Movements'!$D$3:$D$1002,$C268,'Movements'!$E$3:$E$1002,"Waste")+SUMIFS('Movements'!$F$3:$F$1002,'Movements'!$B$3:$B$1002,$A268,'Movements'!$D$3:$D$1002,$C268,'Movements'!$E$3:$E$1002,"In"))</f>
        <v/>
      </c>
      <c r="I268" s="16">
        <f>IF(OR($A268="",$D268=""),"",$D268-'Settings'!$B$6)</f>
        <v/>
      </c>
      <c r="J268" s="8">
        <f>IF(OR($A268="",$D268=""),"",IF($H268&gt;0,$D268+ROW()/100000,""))</f>
        <v/>
      </c>
    </row>
    <row r="269">
      <c r="A269" s="4" t="n"/>
      <c r="B269" s="8">
        <f>IF($A269="","",IFERROR(INDEX('Items'!$B$3:$B$202,MATCH($A269,'Items'!$A$3:$A$202,0)),""))</f>
        <v/>
      </c>
      <c r="C269" s="4" t="n"/>
      <c r="D269" s="5" t="n"/>
      <c r="E269" s="6" t="n"/>
      <c r="F269" s="5" t="n"/>
      <c r="G269" s="4" t="n"/>
      <c r="H269" s="16">
        <f>IF($A269="","",$E269-SUMIFS('Movements'!$F$3:$F$1002,'Movements'!$B$3:$B$1002,$A269,'Movements'!$D$3:$D$1002,$C269,'Movements'!$E$3:$E$1002,"Out")-SUMIFS('Movements'!$F$3:$F$1002,'Movements'!$B$3:$B$1002,$A269,'Movements'!$D$3:$D$1002,$C269,'Movements'!$E$3:$E$1002,"Waste")+SUMIFS('Movements'!$F$3:$F$1002,'Movements'!$B$3:$B$1002,$A269,'Movements'!$D$3:$D$1002,$C269,'Movements'!$E$3:$E$1002,"In"))</f>
        <v/>
      </c>
      <c r="I269" s="16">
        <f>IF(OR($A269="",$D269=""),"",$D269-'Settings'!$B$6)</f>
        <v/>
      </c>
      <c r="J269" s="8">
        <f>IF(OR($A269="",$D269=""),"",IF($H269&gt;0,$D269+ROW()/100000,""))</f>
        <v/>
      </c>
    </row>
    <row r="270">
      <c r="A270" s="4" t="n"/>
      <c r="B270" s="8">
        <f>IF($A270="","",IFERROR(INDEX('Items'!$B$3:$B$202,MATCH($A270,'Items'!$A$3:$A$202,0)),""))</f>
        <v/>
      </c>
      <c r="C270" s="4" t="n"/>
      <c r="D270" s="5" t="n"/>
      <c r="E270" s="6" t="n"/>
      <c r="F270" s="5" t="n"/>
      <c r="G270" s="4" t="n"/>
      <c r="H270" s="16">
        <f>IF($A270="","",$E270-SUMIFS('Movements'!$F$3:$F$1002,'Movements'!$B$3:$B$1002,$A270,'Movements'!$D$3:$D$1002,$C270,'Movements'!$E$3:$E$1002,"Out")-SUMIFS('Movements'!$F$3:$F$1002,'Movements'!$B$3:$B$1002,$A270,'Movements'!$D$3:$D$1002,$C270,'Movements'!$E$3:$E$1002,"Waste")+SUMIFS('Movements'!$F$3:$F$1002,'Movements'!$B$3:$B$1002,$A270,'Movements'!$D$3:$D$1002,$C270,'Movements'!$E$3:$E$1002,"In"))</f>
        <v/>
      </c>
      <c r="I270" s="16">
        <f>IF(OR($A270="",$D270=""),"",$D270-'Settings'!$B$6)</f>
        <v/>
      </c>
      <c r="J270" s="8">
        <f>IF(OR($A270="",$D270=""),"",IF($H270&gt;0,$D270+ROW()/100000,""))</f>
        <v/>
      </c>
    </row>
    <row r="271">
      <c r="A271" s="4" t="n"/>
      <c r="B271" s="8">
        <f>IF($A271="","",IFERROR(INDEX('Items'!$B$3:$B$202,MATCH($A271,'Items'!$A$3:$A$202,0)),""))</f>
        <v/>
      </c>
      <c r="C271" s="4" t="n"/>
      <c r="D271" s="5" t="n"/>
      <c r="E271" s="6" t="n"/>
      <c r="F271" s="5" t="n"/>
      <c r="G271" s="4" t="n"/>
      <c r="H271" s="16">
        <f>IF($A271="","",$E271-SUMIFS('Movements'!$F$3:$F$1002,'Movements'!$B$3:$B$1002,$A271,'Movements'!$D$3:$D$1002,$C271,'Movements'!$E$3:$E$1002,"Out")-SUMIFS('Movements'!$F$3:$F$1002,'Movements'!$B$3:$B$1002,$A271,'Movements'!$D$3:$D$1002,$C271,'Movements'!$E$3:$E$1002,"Waste")+SUMIFS('Movements'!$F$3:$F$1002,'Movements'!$B$3:$B$1002,$A271,'Movements'!$D$3:$D$1002,$C271,'Movements'!$E$3:$E$1002,"In"))</f>
        <v/>
      </c>
      <c r="I271" s="16">
        <f>IF(OR($A271="",$D271=""),"",$D271-'Settings'!$B$6)</f>
        <v/>
      </c>
      <c r="J271" s="8">
        <f>IF(OR($A271="",$D271=""),"",IF($H271&gt;0,$D271+ROW()/100000,""))</f>
        <v/>
      </c>
    </row>
    <row r="272">
      <c r="A272" s="4" t="n"/>
      <c r="B272" s="8">
        <f>IF($A272="","",IFERROR(INDEX('Items'!$B$3:$B$202,MATCH($A272,'Items'!$A$3:$A$202,0)),""))</f>
        <v/>
      </c>
      <c r="C272" s="4" t="n"/>
      <c r="D272" s="5" t="n"/>
      <c r="E272" s="6" t="n"/>
      <c r="F272" s="5" t="n"/>
      <c r="G272" s="4" t="n"/>
      <c r="H272" s="16">
        <f>IF($A272="","",$E272-SUMIFS('Movements'!$F$3:$F$1002,'Movements'!$B$3:$B$1002,$A272,'Movements'!$D$3:$D$1002,$C272,'Movements'!$E$3:$E$1002,"Out")-SUMIFS('Movements'!$F$3:$F$1002,'Movements'!$B$3:$B$1002,$A272,'Movements'!$D$3:$D$1002,$C272,'Movements'!$E$3:$E$1002,"Waste")+SUMIFS('Movements'!$F$3:$F$1002,'Movements'!$B$3:$B$1002,$A272,'Movements'!$D$3:$D$1002,$C272,'Movements'!$E$3:$E$1002,"In"))</f>
        <v/>
      </c>
      <c r="I272" s="16">
        <f>IF(OR($A272="",$D272=""),"",$D272-'Settings'!$B$6)</f>
        <v/>
      </c>
      <c r="J272" s="8">
        <f>IF(OR($A272="",$D272=""),"",IF($H272&gt;0,$D272+ROW()/100000,""))</f>
        <v/>
      </c>
    </row>
    <row r="273">
      <c r="A273" s="4" t="n"/>
      <c r="B273" s="8">
        <f>IF($A273="","",IFERROR(INDEX('Items'!$B$3:$B$202,MATCH($A273,'Items'!$A$3:$A$202,0)),""))</f>
        <v/>
      </c>
      <c r="C273" s="4" t="n"/>
      <c r="D273" s="5" t="n"/>
      <c r="E273" s="6" t="n"/>
      <c r="F273" s="5" t="n"/>
      <c r="G273" s="4" t="n"/>
      <c r="H273" s="16">
        <f>IF($A273="","",$E273-SUMIFS('Movements'!$F$3:$F$1002,'Movements'!$B$3:$B$1002,$A273,'Movements'!$D$3:$D$1002,$C273,'Movements'!$E$3:$E$1002,"Out")-SUMIFS('Movements'!$F$3:$F$1002,'Movements'!$B$3:$B$1002,$A273,'Movements'!$D$3:$D$1002,$C273,'Movements'!$E$3:$E$1002,"Waste")+SUMIFS('Movements'!$F$3:$F$1002,'Movements'!$B$3:$B$1002,$A273,'Movements'!$D$3:$D$1002,$C273,'Movements'!$E$3:$E$1002,"In"))</f>
        <v/>
      </c>
      <c r="I273" s="16">
        <f>IF(OR($A273="",$D273=""),"",$D273-'Settings'!$B$6)</f>
        <v/>
      </c>
      <c r="J273" s="8">
        <f>IF(OR($A273="",$D273=""),"",IF($H273&gt;0,$D273+ROW()/100000,""))</f>
        <v/>
      </c>
    </row>
    <row r="274">
      <c r="A274" s="4" t="n"/>
      <c r="B274" s="8">
        <f>IF($A274="","",IFERROR(INDEX('Items'!$B$3:$B$202,MATCH($A274,'Items'!$A$3:$A$202,0)),""))</f>
        <v/>
      </c>
      <c r="C274" s="4" t="n"/>
      <c r="D274" s="5" t="n"/>
      <c r="E274" s="6" t="n"/>
      <c r="F274" s="5" t="n"/>
      <c r="G274" s="4" t="n"/>
      <c r="H274" s="16">
        <f>IF($A274="","",$E274-SUMIFS('Movements'!$F$3:$F$1002,'Movements'!$B$3:$B$1002,$A274,'Movements'!$D$3:$D$1002,$C274,'Movements'!$E$3:$E$1002,"Out")-SUMIFS('Movements'!$F$3:$F$1002,'Movements'!$B$3:$B$1002,$A274,'Movements'!$D$3:$D$1002,$C274,'Movements'!$E$3:$E$1002,"Waste")+SUMIFS('Movements'!$F$3:$F$1002,'Movements'!$B$3:$B$1002,$A274,'Movements'!$D$3:$D$1002,$C274,'Movements'!$E$3:$E$1002,"In"))</f>
        <v/>
      </c>
      <c r="I274" s="16">
        <f>IF(OR($A274="",$D274=""),"",$D274-'Settings'!$B$6)</f>
        <v/>
      </c>
      <c r="J274" s="8">
        <f>IF(OR($A274="",$D274=""),"",IF($H274&gt;0,$D274+ROW()/100000,""))</f>
        <v/>
      </c>
    </row>
    <row r="275">
      <c r="A275" s="4" t="n"/>
      <c r="B275" s="8">
        <f>IF($A275="","",IFERROR(INDEX('Items'!$B$3:$B$202,MATCH($A275,'Items'!$A$3:$A$202,0)),""))</f>
        <v/>
      </c>
      <c r="C275" s="4" t="n"/>
      <c r="D275" s="5" t="n"/>
      <c r="E275" s="6" t="n"/>
      <c r="F275" s="5" t="n"/>
      <c r="G275" s="4" t="n"/>
      <c r="H275" s="16">
        <f>IF($A275="","",$E275-SUMIFS('Movements'!$F$3:$F$1002,'Movements'!$B$3:$B$1002,$A275,'Movements'!$D$3:$D$1002,$C275,'Movements'!$E$3:$E$1002,"Out")-SUMIFS('Movements'!$F$3:$F$1002,'Movements'!$B$3:$B$1002,$A275,'Movements'!$D$3:$D$1002,$C275,'Movements'!$E$3:$E$1002,"Waste")+SUMIFS('Movements'!$F$3:$F$1002,'Movements'!$B$3:$B$1002,$A275,'Movements'!$D$3:$D$1002,$C275,'Movements'!$E$3:$E$1002,"In"))</f>
        <v/>
      </c>
      <c r="I275" s="16">
        <f>IF(OR($A275="",$D275=""),"",$D275-'Settings'!$B$6)</f>
        <v/>
      </c>
      <c r="J275" s="8">
        <f>IF(OR($A275="",$D275=""),"",IF($H275&gt;0,$D275+ROW()/100000,""))</f>
        <v/>
      </c>
    </row>
    <row r="276">
      <c r="A276" s="4" t="n"/>
      <c r="B276" s="8">
        <f>IF($A276="","",IFERROR(INDEX('Items'!$B$3:$B$202,MATCH($A276,'Items'!$A$3:$A$202,0)),""))</f>
        <v/>
      </c>
      <c r="C276" s="4" t="n"/>
      <c r="D276" s="5" t="n"/>
      <c r="E276" s="6" t="n"/>
      <c r="F276" s="5" t="n"/>
      <c r="G276" s="4" t="n"/>
      <c r="H276" s="16">
        <f>IF($A276="","",$E276-SUMIFS('Movements'!$F$3:$F$1002,'Movements'!$B$3:$B$1002,$A276,'Movements'!$D$3:$D$1002,$C276,'Movements'!$E$3:$E$1002,"Out")-SUMIFS('Movements'!$F$3:$F$1002,'Movements'!$B$3:$B$1002,$A276,'Movements'!$D$3:$D$1002,$C276,'Movements'!$E$3:$E$1002,"Waste")+SUMIFS('Movements'!$F$3:$F$1002,'Movements'!$B$3:$B$1002,$A276,'Movements'!$D$3:$D$1002,$C276,'Movements'!$E$3:$E$1002,"In"))</f>
        <v/>
      </c>
      <c r="I276" s="16">
        <f>IF(OR($A276="",$D276=""),"",$D276-'Settings'!$B$6)</f>
        <v/>
      </c>
      <c r="J276" s="8">
        <f>IF(OR($A276="",$D276=""),"",IF($H276&gt;0,$D276+ROW()/100000,""))</f>
        <v/>
      </c>
    </row>
    <row r="277">
      <c r="A277" s="4" t="n"/>
      <c r="B277" s="8">
        <f>IF($A277="","",IFERROR(INDEX('Items'!$B$3:$B$202,MATCH($A277,'Items'!$A$3:$A$202,0)),""))</f>
        <v/>
      </c>
      <c r="C277" s="4" t="n"/>
      <c r="D277" s="5" t="n"/>
      <c r="E277" s="6" t="n"/>
      <c r="F277" s="5" t="n"/>
      <c r="G277" s="4" t="n"/>
      <c r="H277" s="16">
        <f>IF($A277="","",$E277-SUMIFS('Movements'!$F$3:$F$1002,'Movements'!$B$3:$B$1002,$A277,'Movements'!$D$3:$D$1002,$C277,'Movements'!$E$3:$E$1002,"Out")-SUMIFS('Movements'!$F$3:$F$1002,'Movements'!$B$3:$B$1002,$A277,'Movements'!$D$3:$D$1002,$C277,'Movements'!$E$3:$E$1002,"Waste")+SUMIFS('Movements'!$F$3:$F$1002,'Movements'!$B$3:$B$1002,$A277,'Movements'!$D$3:$D$1002,$C277,'Movements'!$E$3:$E$1002,"In"))</f>
        <v/>
      </c>
      <c r="I277" s="16">
        <f>IF(OR($A277="",$D277=""),"",$D277-'Settings'!$B$6)</f>
        <v/>
      </c>
      <c r="J277" s="8">
        <f>IF(OR($A277="",$D277=""),"",IF($H277&gt;0,$D277+ROW()/100000,""))</f>
        <v/>
      </c>
    </row>
    <row r="278">
      <c r="A278" s="4" t="n"/>
      <c r="B278" s="8">
        <f>IF($A278="","",IFERROR(INDEX('Items'!$B$3:$B$202,MATCH($A278,'Items'!$A$3:$A$202,0)),""))</f>
        <v/>
      </c>
      <c r="C278" s="4" t="n"/>
      <c r="D278" s="5" t="n"/>
      <c r="E278" s="6" t="n"/>
      <c r="F278" s="5" t="n"/>
      <c r="G278" s="4" t="n"/>
      <c r="H278" s="16">
        <f>IF($A278="","",$E278-SUMIFS('Movements'!$F$3:$F$1002,'Movements'!$B$3:$B$1002,$A278,'Movements'!$D$3:$D$1002,$C278,'Movements'!$E$3:$E$1002,"Out")-SUMIFS('Movements'!$F$3:$F$1002,'Movements'!$B$3:$B$1002,$A278,'Movements'!$D$3:$D$1002,$C278,'Movements'!$E$3:$E$1002,"Waste")+SUMIFS('Movements'!$F$3:$F$1002,'Movements'!$B$3:$B$1002,$A278,'Movements'!$D$3:$D$1002,$C278,'Movements'!$E$3:$E$1002,"In"))</f>
        <v/>
      </c>
      <c r="I278" s="16">
        <f>IF(OR($A278="",$D278=""),"",$D278-'Settings'!$B$6)</f>
        <v/>
      </c>
      <c r="J278" s="8">
        <f>IF(OR($A278="",$D278=""),"",IF($H278&gt;0,$D278+ROW()/100000,""))</f>
        <v/>
      </c>
    </row>
    <row r="279">
      <c r="A279" s="4" t="n"/>
      <c r="B279" s="8">
        <f>IF($A279="","",IFERROR(INDEX('Items'!$B$3:$B$202,MATCH($A279,'Items'!$A$3:$A$202,0)),""))</f>
        <v/>
      </c>
      <c r="C279" s="4" t="n"/>
      <c r="D279" s="5" t="n"/>
      <c r="E279" s="6" t="n"/>
      <c r="F279" s="5" t="n"/>
      <c r="G279" s="4" t="n"/>
      <c r="H279" s="16">
        <f>IF($A279="","",$E279-SUMIFS('Movements'!$F$3:$F$1002,'Movements'!$B$3:$B$1002,$A279,'Movements'!$D$3:$D$1002,$C279,'Movements'!$E$3:$E$1002,"Out")-SUMIFS('Movements'!$F$3:$F$1002,'Movements'!$B$3:$B$1002,$A279,'Movements'!$D$3:$D$1002,$C279,'Movements'!$E$3:$E$1002,"Waste")+SUMIFS('Movements'!$F$3:$F$1002,'Movements'!$B$3:$B$1002,$A279,'Movements'!$D$3:$D$1002,$C279,'Movements'!$E$3:$E$1002,"In"))</f>
        <v/>
      </c>
      <c r="I279" s="16">
        <f>IF(OR($A279="",$D279=""),"",$D279-'Settings'!$B$6)</f>
        <v/>
      </c>
      <c r="J279" s="8">
        <f>IF(OR($A279="",$D279=""),"",IF($H279&gt;0,$D279+ROW()/100000,""))</f>
        <v/>
      </c>
    </row>
    <row r="280">
      <c r="A280" s="4" t="n"/>
      <c r="B280" s="8">
        <f>IF($A280="","",IFERROR(INDEX('Items'!$B$3:$B$202,MATCH($A280,'Items'!$A$3:$A$202,0)),""))</f>
        <v/>
      </c>
      <c r="C280" s="4" t="n"/>
      <c r="D280" s="5" t="n"/>
      <c r="E280" s="6" t="n"/>
      <c r="F280" s="5" t="n"/>
      <c r="G280" s="4" t="n"/>
      <c r="H280" s="16">
        <f>IF($A280="","",$E280-SUMIFS('Movements'!$F$3:$F$1002,'Movements'!$B$3:$B$1002,$A280,'Movements'!$D$3:$D$1002,$C280,'Movements'!$E$3:$E$1002,"Out")-SUMIFS('Movements'!$F$3:$F$1002,'Movements'!$B$3:$B$1002,$A280,'Movements'!$D$3:$D$1002,$C280,'Movements'!$E$3:$E$1002,"Waste")+SUMIFS('Movements'!$F$3:$F$1002,'Movements'!$B$3:$B$1002,$A280,'Movements'!$D$3:$D$1002,$C280,'Movements'!$E$3:$E$1002,"In"))</f>
        <v/>
      </c>
      <c r="I280" s="16">
        <f>IF(OR($A280="",$D280=""),"",$D280-'Settings'!$B$6)</f>
        <v/>
      </c>
      <c r="J280" s="8">
        <f>IF(OR($A280="",$D280=""),"",IF($H280&gt;0,$D280+ROW()/100000,""))</f>
        <v/>
      </c>
    </row>
    <row r="281">
      <c r="A281" s="4" t="n"/>
      <c r="B281" s="8">
        <f>IF($A281="","",IFERROR(INDEX('Items'!$B$3:$B$202,MATCH($A281,'Items'!$A$3:$A$202,0)),""))</f>
        <v/>
      </c>
      <c r="C281" s="4" t="n"/>
      <c r="D281" s="5" t="n"/>
      <c r="E281" s="6" t="n"/>
      <c r="F281" s="5" t="n"/>
      <c r="G281" s="4" t="n"/>
      <c r="H281" s="16">
        <f>IF($A281="","",$E281-SUMIFS('Movements'!$F$3:$F$1002,'Movements'!$B$3:$B$1002,$A281,'Movements'!$D$3:$D$1002,$C281,'Movements'!$E$3:$E$1002,"Out")-SUMIFS('Movements'!$F$3:$F$1002,'Movements'!$B$3:$B$1002,$A281,'Movements'!$D$3:$D$1002,$C281,'Movements'!$E$3:$E$1002,"Waste")+SUMIFS('Movements'!$F$3:$F$1002,'Movements'!$B$3:$B$1002,$A281,'Movements'!$D$3:$D$1002,$C281,'Movements'!$E$3:$E$1002,"In"))</f>
        <v/>
      </c>
      <c r="I281" s="16">
        <f>IF(OR($A281="",$D281=""),"",$D281-'Settings'!$B$6)</f>
        <v/>
      </c>
      <c r="J281" s="8">
        <f>IF(OR($A281="",$D281=""),"",IF($H281&gt;0,$D281+ROW()/100000,""))</f>
        <v/>
      </c>
    </row>
    <row r="282">
      <c r="A282" s="4" t="n"/>
      <c r="B282" s="8">
        <f>IF($A282="","",IFERROR(INDEX('Items'!$B$3:$B$202,MATCH($A282,'Items'!$A$3:$A$202,0)),""))</f>
        <v/>
      </c>
      <c r="C282" s="4" t="n"/>
      <c r="D282" s="5" t="n"/>
      <c r="E282" s="6" t="n"/>
      <c r="F282" s="5" t="n"/>
      <c r="G282" s="4" t="n"/>
      <c r="H282" s="16">
        <f>IF($A282="","",$E282-SUMIFS('Movements'!$F$3:$F$1002,'Movements'!$B$3:$B$1002,$A282,'Movements'!$D$3:$D$1002,$C282,'Movements'!$E$3:$E$1002,"Out")-SUMIFS('Movements'!$F$3:$F$1002,'Movements'!$B$3:$B$1002,$A282,'Movements'!$D$3:$D$1002,$C282,'Movements'!$E$3:$E$1002,"Waste")+SUMIFS('Movements'!$F$3:$F$1002,'Movements'!$B$3:$B$1002,$A282,'Movements'!$D$3:$D$1002,$C282,'Movements'!$E$3:$E$1002,"In"))</f>
        <v/>
      </c>
      <c r="I282" s="16">
        <f>IF(OR($A282="",$D282=""),"",$D282-'Settings'!$B$6)</f>
        <v/>
      </c>
      <c r="J282" s="8">
        <f>IF(OR($A282="",$D282=""),"",IF($H282&gt;0,$D282+ROW()/100000,""))</f>
        <v/>
      </c>
    </row>
    <row r="283">
      <c r="A283" s="4" t="n"/>
      <c r="B283" s="8">
        <f>IF($A283="","",IFERROR(INDEX('Items'!$B$3:$B$202,MATCH($A283,'Items'!$A$3:$A$202,0)),""))</f>
        <v/>
      </c>
      <c r="C283" s="4" t="n"/>
      <c r="D283" s="5" t="n"/>
      <c r="E283" s="6" t="n"/>
      <c r="F283" s="5" t="n"/>
      <c r="G283" s="4" t="n"/>
      <c r="H283" s="16">
        <f>IF($A283="","",$E283-SUMIFS('Movements'!$F$3:$F$1002,'Movements'!$B$3:$B$1002,$A283,'Movements'!$D$3:$D$1002,$C283,'Movements'!$E$3:$E$1002,"Out")-SUMIFS('Movements'!$F$3:$F$1002,'Movements'!$B$3:$B$1002,$A283,'Movements'!$D$3:$D$1002,$C283,'Movements'!$E$3:$E$1002,"Waste")+SUMIFS('Movements'!$F$3:$F$1002,'Movements'!$B$3:$B$1002,$A283,'Movements'!$D$3:$D$1002,$C283,'Movements'!$E$3:$E$1002,"In"))</f>
        <v/>
      </c>
      <c r="I283" s="16">
        <f>IF(OR($A283="",$D283=""),"",$D283-'Settings'!$B$6)</f>
        <v/>
      </c>
      <c r="J283" s="8">
        <f>IF(OR($A283="",$D283=""),"",IF($H283&gt;0,$D283+ROW()/100000,""))</f>
        <v/>
      </c>
    </row>
    <row r="284">
      <c r="A284" s="4" t="n"/>
      <c r="B284" s="8">
        <f>IF($A284="","",IFERROR(INDEX('Items'!$B$3:$B$202,MATCH($A284,'Items'!$A$3:$A$202,0)),""))</f>
        <v/>
      </c>
      <c r="C284" s="4" t="n"/>
      <c r="D284" s="5" t="n"/>
      <c r="E284" s="6" t="n"/>
      <c r="F284" s="5" t="n"/>
      <c r="G284" s="4" t="n"/>
      <c r="H284" s="16">
        <f>IF($A284="","",$E284-SUMIFS('Movements'!$F$3:$F$1002,'Movements'!$B$3:$B$1002,$A284,'Movements'!$D$3:$D$1002,$C284,'Movements'!$E$3:$E$1002,"Out")-SUMIFS('Movements'!$F$3:$F$1002,'Movements'!$B$3:$B$1002,$A284,'Movements'!$D$3:$D$1002,$C284,'Movements'!$E$3:$E$1002,"Waste")+SUMIFS('Movements'!$F$3:$F$1002,'Movements'!$B$3:$B$1002,$A284,'Movements'!$D$3:$D$1002,$C284,'Movements'!$E$3:$E$1002,"In"))</f>
        <v/>
      </c>
      <c r="I284" s="16">
        <f>IF(OR($A284="",$D284=""),"",$D284-'Settings'!$B$6)</f>
        <v/>
      </c>
      <c r="J284" s="8">
        <f>IF(OR($A284="",$D284=""),"",IF($H284&gt;0,$D284+ROW()/100000,""))</f>
        <v/>
      </c>
    </row>
    <row r="285">
      <c r="A285" s="4" t="n"/>
      <c r="B285" s="8">
        <f>IF($A285="","",IFERROR(INDEX('Items'!$B$3:$B$202,MATCH($A285,'Items'!$A$3:$A$202,0)),""))</f>
        <v/>
      </c>
      <c r="C285" s="4" t="n"/>
      <c r="D285" s="5" t="n"/>
      <c r="E285" s="6" t="n"/>
      <c r="F285" s="5" t="n"/>
      <c r="G285" s="4" t="n"/>
      <c r="H285" s="16">
        <f>IF($A285="","",$E285-SUMIFS('Movements'!$F$3:$F$1002,'Movements'!$B$3:$B$1002,$A285,'Movements'!$D$3:$D$1002,$C285,'Movements'!$E$3:$E$1002,"Out")-SUMIFS('Movements'!$F$3:$F$1002,'Movements'!$B$3:$B$1002,$A285,'Movements'!$D$3:$D$1002,$C285,'Movements'!$E$3:$E$1002,"Waste")+SUMIFS('Movements'!$F$3:$F$1002,'Movements'!$B$3:$B$1002,$A285,'Movements'!$D$3:$D$1002,$C285,'Movements'!$E$3:$E$1002,"In"))</f>
        <v/>
      </c>
      <c r="I285" s="16">
        <f>IF(OR($A285="",$D285=""),"",$D285-'Settings'!$B$6)</f>
        <v/>
      </c>
      <c r="J285" s="8">
        <f>IF(OR($A285="",$D285=""),"",IF($H285&gt;0,$D285+ROW()/100000,""))</f>
        <v/>
      </c>
    </row>
    <row r="286">
      <c r="A286" s="4" t="n"/>
      <c r="B286" s="8">
        <f>IF($A286="","",IFERROR(INDEX('Items'!$B$3:$B$202,MATCH($A286,'Items'!$A$3:$A$202,0)),""))</f>
        <v/>
      </c>
      <c r="C286" s="4" t="n"/>
      <c r="D286" s="5" t="n"/>
      <c r="E286" s="6" t="n"/>
      <c r="F286" s="5" t="n"/>
      <c r="G286" s="4" t="n"/>
      <c r="H286" s="16">
        <f>IF($A286="","",$E286-SUMIFS('Movements'!$F$3:$F$1002,'Movements'!$B$3:$B$1002,$A286,'Movements'!$D$3:$D$1002,$C286,'Movements'!$E$3:$E$1002,"Out")-SUMIFS('Movements'!$F$3:$F$1002,'Movements'!$B$3:$B$1002,$A286,'Movements'!$D$3:$D$1002,$C286,'Movements'!$E$3:$E$1002,"Waste")+SUMIFS('Movements'!$F$3:$F$1002,'Movements'!$B$3:$B$1002,$A286,'Movements'!$D$3:$D$1002,$C286,'Movements'!$E$3:$E$1002,"In"))</f>
        <v/>
      </c>
      <c r="I286" s="16">
        <f>IF(OR($A286="",$D286=""),"",$D286-'Settings'!$B$6)</f>
        <v/>
      </c>
      <c r="J286" s="8">
        <f>IF(OR($A286="",$D286=""),"",IF($H286&gt;0,$D286+ROW()/100000,""))</f>
        <v/>
      </c>
    </row>
    <row r="287">
      <c r="A287" s="4" t="n"/>
      <c r="B287" s="8">
        <f>IF($A287="","",IFERROR(INDEX('Items'!$B$3:$B$202,MATCH($A287,'Items'!$A$3:$A$202,0)),""))</f>
        <v/>
      </c>
      <c r="C287" s="4" t="n"/>
      <c r="D287" s="5" t="n"/>
      <c r="E287" s="6" t="n"/>
      <c r="F287" s="5" t="n"/>
      <c r="G287" s="4" t="n"/>
      <c r="H287" s="16">
        <f>IF($A287="","",$E287-SUMIFS('Movements'!$F$3:$F$1002,'Movements'!$B$3:$B$1002,$A287,'Movements'!$D$3:$D$1002,$C287,'Movements'!$E$3:$E$1002,"Out")-SUMIFS('Movements'!$F$3:$F$1002,'Movements'!$B$3:$B$1002,$A287,'Movements'!$D$3:$D$1002,$C287,'Movements'!$E$3:$E$1002,"Waste")+SUMIFS('Movements'!$F$3:$F$1002,'Movements'!$B$3:$B$1002,$A287,'Movements'!$D$3:$D$1002,$C287,'Movements'!$E$3:$E$1002,"In"))</f>
        <v/>
      </c>
      <c r="I287" s="16">
        <f>IF(OR($A287="",$D287=""),"",$D287-'Settings'!$B$6)</f>
        <v/>
      </c>
      <c r="J287" s="8">
        <f>IF(OR($A287="",$D287=""),"",IF($H287&gt;0,$D287+ROW()/100000,""))</f>
        <v/>
      </c>
    </row>
    <row r="288">
      <c r="A288" s="4" t="n"/>
      <c r="B288" s="8">
        <f>IF($A288="","",IFERROR(INDEX('Items'!$B$3:$B$202,MATCH($A288,'Items'!$A$3:$A$202,0)),""))</f>
        <v/>
      </c>
      <c r="C288" s="4" t="n"/>
      <c r="D288" s="5" t="n"/>
      <c r="E288" s="6" t="n"/>
      <c r="F288" s="5" t="n"/>
      <c r="G288" s="4" t="n"/>
      <c r="H288" s="16">
        <f>IF($A288="","",$E288-SUMIFS('Movements'!$F$3:$F$1002,'Movements'!$B$3:$B$1002,$A288,'Movements'!$D$3:$D$1002,$C288,'Movements'!$E$3:$E$1002,"Out")-SUMIFS('Movements'!$F$3:$F$1002,'Movements'!$B$3:$B$1002,$A288,'Movements'!$D$3:$D$1002,$C288,'Movements'!$E$3:$E$1002,"Waste")+SUMIFS('Movements'!$F$3:$F$1002,'Movements'!$B$3:$B$1002,$A288,'Movements'!$D$3:$D$1002,$C288,'Movements'!$E$3:$E$1002,"In"))</f>
        <v/>
      </c>
      <c r="I288" s="16">
        <f>IF(OR($A288="",$D288=""),"",$D288-'Settings'!$B$6)</f>
        <v/>
      </c>
      <c r="J288" s="8">
        <f>IF(OR($A288="",$D288=""),"",IF($H288&gt;0,$D288+ROW()/100000,""))</f>
        <v/>
      </c>
    </row>
    <row r="289">
      <c r="A289" s="4" t="n"/>
      <c r="B289" s="8">
        <f>IF($A289="","",IFERROR(INDEX('Items'!$B$3:$B$202,MATCH($A289,'Items'!$A$3:$A$202,0)),""))</f>
        <v/>
      </c>
      <c r="C289" s="4" t="n"/>
      <c r="D289" s="5" t="n"/>
      <c r="E289" s="6" t="n"/>
      <c r="F289" s="5" t="n"/>
      <c r="G289" s="4" t="n"/>
      <c r="H289" s="16">
        <f>IF($A289="","",$E289-SUMIFS('Movements'!$F$3:$F$1002,'Movements'!$B$3:$B$1002,$A289,'Movements'!$D$3:$D$1002,$C289,'Movements'!$E$3:$E$1002,"Out")-SUMIFS('Movements'!$F$3:$F$1002,'Movements'!$B$3:$B$1002,$A289,'Movements'!$D$3:$D$1002,$C289,'Movements'!$E$3:$E$1002,"Waste")+SUMIFS('Movements'!$F$3:$F$1002,'Movements'!$B$3:$B$1002,$A289,'Movements'!$D$3:$D$1002,$C289,'Movements'!$E$3:$E$1002,"In"))</f>
        <v/>
      </c>
      <c r="I289" s="16">
        <f>IF(OR($A289="",$D289=""),"",$D289-'Settings'!$B$6)</f>
        <v/>
      </c>
      <c r="J289" s="8">
        <f>IF(OR($A289="",$D289=""),"",IF($H289&gt;0,$D289+ROW()/100000,""))</f>
        <v/>
      </c>
    </row>
    <row r="290">
      <c r="A290" s="4" t="n"/>
      <c r="B290" s="8">
        <f>IF($A290="","",IFERROR(INDEX('Items'!$B$3:$B$202,MATCH($A290,'Items'!$A$3:$A$202,0)),""))</f>
        <v/>
      </c>
      <c r="C290" s="4" t="n"/>
      <c r="D290" s="5" t="n"/>
      <c r="E290" s="6" t="n"/>
      <c r="F290" s="5" t="n"/>
      <c r="G290" s="4" t="n"/>
      <c r="H290" s="16">
        <f>IF($A290="","",$E290-SUMIFS('Movements'!$F$3:$F$1002,'Movements'!$B$3:$B$1002,$A290,'Movements'!$D$3:$D$1002,$C290,'Movements'!$E$3:$E$1002,"Out")-SUMIFS('Movements'!$F$3:$F$1002,'Movements'!$B$3:$B$1002,$A290,'Movements'!$D$3:$D$1002,$C290,'Movements'!$E$3:$E$1002,"Waste")+SUMIFS('Movements'!$F$3:$F$1002,'Movements'!$B$3:$B$1002,$A290,'Movements'!$D$3:$D$1002,$C290,'Movements'!$E$3:$E$1002,"In"))</f>
        <v/>
      </c>
      <c r="I290" s="16">
        <f>IF(OR($A290="",$D290=""),"",$D290-'Settings'!$B$6)</f>
        <v/>
      </c>
      <c r="J290" s="8">
        <f>IF(OR($A290="",$D290=""),"",IF($H290&gt;0,$D290+ROW()/100000,""))</f>
        <v/>
      </c>
    </row>
    <row r="291">
      <c r="A291" s="4" t="n"/>
      <c r="B291" s="8">
        <f>IF($A291="","",IFERROR(INDEX('Items'!$B$3:$B$202,MATCH($A291,'Items'!$A$3:$A$202,0)),""))</f>
        <v/>
      </c>
      <c r="C291" s="4" t="n"/>
      <c r="D291" s="5" t="n"/>
      <c r="E291" s="6" t="n"/>
      <c r="F291" s="5" t="n"/>
      <c r="G291" s="4" t="n"/>
      <c r="H291" s="16">
        <f>IF($A291="","",$E291-SUMIFS('Movements'!$F$3:$F$1002,'Movements'!$B$3:$B$1002,$A291,'Movements'!$D$3:$D$1002,$C291,'Movements'!$E$3:$E$1002,"Out")-SUMIFS('Movements'!$F$3:$F$1002,'Movements'!$B$3:$B$1002,$A291,'Movements'!$D$3:$D$1002,$C291,'Movements'!$E$3:$E$1002,"Waste")+SUMIFS('Movements'!$F$3:$F$1002,'Movements'!$B$3:$B$1002,$A291,'Movements'!$D$3:$D$1002,$C291,'Movements'!$E$3:$E$1002,"In"))</f>
        <v/>
      </c>
      <c r="I291" s="16">
        <f>IF(OR($A291="",$D291=""),"",$D291-'Settings'!$B$6)</f>
        <v/>
      </c>
      <c r="J291" s="8">
        <f>IF(OR($A291="",$D291=""),"",IF($H291&gt;0,$D291+ROW()/100000,""))</f>
        <v/>
      </c>
    </row>
    <row r="292">
      <c r="A292" s="4" t="n"/>
      <c r="B292" s="8">
        <f>IF($A292="","",IFERROR(INDEX('Items'!$B$3:$B$202,MATCH($A292,'Items'!$A$3:$A$202,0)),""))</f>
        <v/>
      </c>
      <c r="C292" s="4" t="n"/>
      <c r="D292" s="5" t="n"/>
      <c r="E292" s="6" t="n"/>
      <c r="F292" s="5" t="n"/>
      <c r="G292" s="4" t="n"/>
      <c r="H292" s="16">
        <f>IF($A292="","",$E292-SUMIFS('Movements'!$F$3:$F$1002,'Movements'!$B$3:$B$1002,$A292,'Movements'!$D$3:$D$1002,$C292,'Movements'!$E$3:$E$1002,"Out")-SUMIFS('Movements'!$F$3:$F$1002,'Movements'!$B$3:$B$1002,$A292,'Movements'!$D$3:$D$1002,$C292,'Movements'!$E$3:$E$1002,"Waste")+SUMIFS('Movements'!$F$3:$F$1002,'Movements'!$B$3:$B$1002,$A292,'Movements'!$D$3:$D$1002,$C292,'Movements'!$E$3:$E$1002,"In"))</f>
        <v/>
      </c>
      <c r="I292" s="16">
        <f>IF(OR($A292="",$D292=""),"",$D292-'Settings'!$B$6)</f>
        <v/>
      </c>
      <c r="J292" s="8">
        <f>IF(OR($A292="",$D292=""),"",IF($H292&gt;0,$D292+ROW()/100000,""))</f>
        <v/>
      </c>
    </row>
    <row r="293">
      <c r="A293" s="4" t="n"/>
      <c r="B293" s="8">
        <f>IF($A293="","",IFERROR(INDEX('Items'!$B$3:$B$202,MATCH($A293,'Items'!$A$3:$A$202,0)),""))</f>
        <v/>
      </c>
      <c r="C293" s="4" t="n"/>
      <c r="D293" s="5" t="n"/>
      <c r="E293" s="6" t="n"/>
      <c r="F293" s="5" t="n"/>
      <c r="G293" s="4" t="n"/>
      <c r="H293" s="16">
        <f>IF($A293="","",$E293-SUMIFS('Movements'!$F$3:$F$1002,'Movements'!$B$3:$B$1002,$A293,'Movements'!$D$3:$D$1002,$C293,'Movements'!$E$3:$E$1002,"Out")-SUMIFS('Movements'!$F$3:$F$1002,'Movements'!$B$3:$B$1002,$A293,'Movements'!$D$3:$D$1002,$C293,'Movements'!$E$3:$E$1002,"Waste")+SUMIFS('Movements'!$F$3:$F$1002,'Movements'!$B$3:$B$1002,$A293,'Movements'!$D$3:$D$1002,$C293,'Movements'!$E$3:$E$1002,"In"))</f>
        <v/>
      </c>
      <c r="I293" s="16">
        <f>IF(OR($A293="",$D293=""),"",$D293-'Settings'!$B$6)</f>
        <v/>
      </c>
      <c r="J293" s="8">
        <f>IF(OR($A293="",$D293=""),"",IF($H293&gt;0,$D293+ROW()/100000,""))</f>
        <v/>
      </c>
    </row>
    <row r="294">
      <c r="A294" s="4" t="n"/>
      <c r="B294" s="8">
        <f>IF($A294="","",IFERROR(INDEX('Items'!$B$3:$B$202,MATCH($A294,'Items'!$A$3:$A$202,0)),""))</f>
        <v/>
      </c>
      <c r="C294" s="4" t="n"/>
      <c r="D294" s="5" t="n"/>
      <c r="E294" s="6" t="n"/>
      <c r="F294" s="5" t="n"/>
      <c r="G294" s="4" t="n"/>
      <c r="H294" s="16">
        <f>IF($A294="","",$E294-SUMIFS('Movements'!$F$3:$F$1002,'Movements'!$B$3:$B$1002,$A294,'Movements'!$D$3:$D$1002,$C294,'Movements'!$E$3:$E$1002,"Out")-SUMIFS('Movements'!$F$3:$F$1002,'Movements'!$B$3:$B$1002,$A294,'Movements'!$D$3:$D$1002,$C294,'Movements'!$E$3:$E$1002,"Waste")+SUMIFS('Movements'!$F$3:$F$1002,'Movements'!$B$3:$B$1002,$A294,'Movements'!$D$3:$D$1002,$C294,'Movements'!$E$3:$E$1002,"In"))</f>
        <v/>
      </c>
      <c r="I294" s="16">
        <f>IF(OR($A294="",$D294=""),"",$D294-'Settings'!$B$6)</f>
        <v/>
      </c>
      <c r="J294" s="8">
        <f>IF(OR($A294="",$D294=""),"",IF($H294&gt;0,$D294+ROW()/100000,""))</f>
        <v/>
      </c>
    </row>
    <row r="295">
      <c r="A295" s="4" t="n"/>
      <c r="B295" s="8">
        <f>IF($A295="","",IFERROR(INDEX('Items'!$B$3:$B$202,MATCH($A295,'Items'!$A$3:$A$202,0)),""))</f>
        <v/>
      </c>
      <c r="C295" s="4" t="n"/>
      <c r="D295" s="5" t="n"/>
      <c r="E295" s="6" t="n"/>
      <c r="F295" s="5" t="n"/>
      <c r="G295" s="4" t="n"/>
      <c r="H295" s="16">
        <f>IF($A295="","",$E295-SUMIFS('Movements'!$F$3:$F$1002,'Movements'!$B$3:$B$1002,$A295,'Movements'!$D$3:$D$1002,$C295,'Movements'!$E$3:$E$1002,"Out")-SUMIFS('Movements'!$F$3:$F$1002,'Movements'!$B$3:$B$1002,$A295,'Movements'!$D$3:$D$1002,$C295,'Movements'!$E$3:$E$1002,"Waste")+SUMIFS('Movements'!$F$3:$F$1002,'Movements'!$B$3:$B$1002,$A295,'Movements'!$D$3:$D$1002,$C295,'Movements'!$E$3:$E$1002,"In"))</f>
        <v/>
      </c>
      <c r="I295" s="16">
        <f>IF(OR($A295="",$D295=""),"",$D295-'Settings'!$B$6)</f>
        <v/>
      </c>
      <c r="J295" s="8">
        <f>IF(OR($A295="",$D295=""),"",IF($H295&gt;0,$D295+ROW()/100000,""))</f>
        <v/>
      </c>
    </row>
    <row r="296">
      <c r="A296" s="4" t="n"/>
      <c r="B296" s="8">
        <f>IF($A296="","",IFERROR(INDEX('Items'!$B$3:$B$202,MATCH($A296,'Items'!$A$3:$A$202,0)),""))</f>
        <v/>
      </c>
      <c r="C296" s="4" t="n"/>
      <c r="D296" s="5" t="n"/>
      <c r="E296" s="6" t="n"/>
      <c r="F296" s="5" t="n"/>
      <c r="G296" s="4" t="n"/>
      <c r="H296" s="16">
        <f>IF($A296="","",$E296-SUMIFS('Movements'!$F$3:$F$1002,'Movements'!$B$3:$B$1002,$A296,'Movements'!$D$3:$D$1002,$C296,'Movements'!$E$3:$E$1002,"Out")-SUMIFS('Movements'!$F$3:$F$1002,'Movements'!$B$3:$B$1002,$A296,'Movements'!$D$3:$D$1002,$C296,'Movements'!$E$3:$E$1002,"Waste")+SUMIFS('Movements'!$F$3:$F$1002,'Movements'!$B$3:$B$1002,$A296,'Movements'!$D$3:$D$1002,$C296,'Movements'!$E$3:$E$1002,"In"))</f>
        <v/>
      </c>
      <c r="I296" s="16">
        <f>IF(OR($A296="",$D296=""),"",$D296-'Settings'!$B$6)</f>
        <v/>
      </c>
      <c r="J296" s="8">
        <f>IF(OR($A296="",$D296=""),"",IF($H296&gt;0,$D296+ROW()/100000,""))</f>
        <v/>
      </c>
    </row>
    <row r="297">
      <c r="A297" s="4" t="n"/>
      <c r="B297" s="8">
        <f>IF($A297="","",IFERROR(INDEX('Items'!$B$3:$B$202,MATCH($A297,'Items'!$A$3:$A$202,0)),""))</f>
        <v/>
      </c>
      <c r="C297" s="4" t="n"/>
      <c r="D297" s="5" t="n"/>
      <c r="E297" s="6" t="n"/>
      <c r="F297" s="5" t="n"/>
      <c r="G297" s="4" t="n"/>
      <c r="H297" s="16">
        <f>IF($A297="","",$E297-SUMIFS('Movements'!$F$3:$F$1002,'Movements'!$B$3:$B$1002,$A297,'Movements'!$D$3:$D$1002,$C297,'Movements'!$E$3:$E$1002,"Out")-SUMIFS('Movements'!$F$3:$F$1002,'Movements'!$B$3:$B$1002,$A297,'Movements'!$D$3:$D$1002,$C297,'Movements'!$E$3:$E$1002,"Waste")+SUMIFS('Movements'!$F$3:$F$1002,'Movements'!$B$3:$B$1002,$A297,'Movements'!$D$3:$D$1002,$C297,'Movements'!$E$3:$E$1002,"In"))</f>
        <v/>
      </c>
      <c r="I297" s="16">
        <f>IF(OR($A297="",$D297=""),"",$D297-'Settings'!$B$6)</f>
        <v/>
      </c>
      <c r="J297" s="8">
        <f>IF(OR($A297="",$D297=""),"",IF($H297&gt;0,$D297+ROW()/100000,""))</f>
        <v/>
      </c>
    </row>
    <row r="298">
      <c r="A298" s="4" t="n"/>
      <c r="B298" s="8">
        <f>IF($A298="","",IFERROR(INDEX('Items'!$B$3:$B$202,MATCH($A298,'Items'!$A$3:$A$202,0)),""))</f>
        <v/>
      </c>
      <c r="C298" s="4" t="n"/>
      <c r="D298" s="5" t="n"/>
      <c r="E298" s="6" t="n"/>
      <c r="F298" s="5" t="n"/>
      <c r="G298" s="4" t="n"/>
      <c r="H298" s="16">
        <f>IF($A298="","",$E298-SUMIFS('Movements'!$F$3:$F$1002,'Movements'!$B$3:$B$1002,$A298,'Movements'!$D$3:$D$1002,$C298,'Movements'!$E$3:$E$1002,"Out")-SUMIFS('Movements'!$F$3:$F$1002,'Movements'!$B$3:$B$1002,$A298,'Movements'!$D$3:$D$1002,$C298,'Movements'!$E$3:$E$1002,"Waste")+SUMIFS('Movements'!$F$3:$F$1002,'Movements'!$B$3:$B$1002,$A298,'Movements'!$D$3:$D$1002,$C298,'Movements'!$E$3:$E$1002,"In"))</f>
        <v/>
      </c>
      <c r="I298" s="16">
        <f>IF(OR($A298="",$D298=""),"",$D298-'Settings'!$B$6)</f>
        <v/>
      </c>
      <c r="J298" s="8">
        <f>IF(OR($A298="",$D298=""),"",IF($H298&gt;0,$D298+ROW()/100000,""))</f>
        <v/>
      </c>
    </row>
    <row r="299">
      <c r="A299" s="4" t="n"/>
      <c r="B299" s="8">
        <f>IF($A299="","",IFERROR(INDEX('Items'!$B$3:$B$202,MATCH($A299,'Items'!$A$3:$A$202,0)),""))</f>
        <v/>
      </c>
      <c r="C299" s="4" t="n"/>
      <c r="D299" s="5" t="n"/>
      <c r="E299" s="6" t="n"/>
      <c r="F299" s="5" t="n"/>
      <c r="G299" s="4" t="n"/>
      <c r="H299" s="16">
        <f>IF($A299="","",$E299-SUMIFS('Movements'!$F$3:$F$1002,'Movements'!$B$3:$B$1002,$A299,'Movements'!$D$3:$D$1002,$C299,'Movements'!$E$3:$E$1002,"Out")-SUMIFS('Movements'!$F$3:$F$1002,'Movements'!$B$3:$B$1002,$A299,'Movements'!$D$3:$D$1002,$C299,'Movements'!$E$3:$E$1002,"Waste")+SUMIFS('Movements'!$F$3:$F$1002,'Movements'!$B$3:$B$1002,$A299,'Movements'!$D$3:$D$1002,$C299,'Movements'!$E$3:$E$1002,"In"))</f>
        <v/>
      </c>
      <c r="I299" s="16">
        <f>IF(OR($A299="",$D299=""),"",$D299-'Settings'!$B$6)</f>
        <v/>
      </c>
      <c r="J299" s="8">
        <f>IF(OR($A299="",$D299=""),"",IF($H299&gt;0,$D299+ROW()/100000,""))</f>
        <v/>
      </c>
    </row>
    <row r="300">
      <c r="A300" s="4" t="n"/>
      <c r="B300" s="8">
        <f>IF($A300="","",IFERROR(INDEX('Items'!$B$3:$B$202,MATCH($A300,'Items'!$A$3:$A$202,0)),""))</f>
        <v/>
      </c>
      <c r="C300" s="4" t="n"/>
      <c r="D300" s="5" t="n"/>
      <c r="E300" s="6" t="n"/>
      <c r="F300" s="5" t="n"/>
      <c r="G300" s="4" t="n"/>
      <c r="H300" s="16">
        <f>IF($A300="","",$E300-SUMIFS('Movements'!$F$3:$F$1002,'Movements'!$B$3:$B$1002,$A300,'Movements'!$D$3:$D$1002,$C300,'Movements'!$E$3:$E$1002,"Out")-SUMIFS('Movements'!$F$3:$F$1002,'Movements'!$B$3:$B$1002,$A300,'Movements'!$D$3:$D$1002,$C300,'Movements'!$E$3:$E$1002,"Waste")+SUMIFS('Movements'!$F$3:$F$1002,'Movements'!$B$3:$B$1002,$A300,'Movements'!$D$3:$D$1002,$C300,'Movements'!$E$3:$E$1002,"In"))</f>
        <v/>
      </c>
      <c r="I300" s="16">
        <f>IF(OR($A300="",$D300=""),"",$D300-'Settings'!$B$6)</f>
        <v/>
      </c>
      <c r="J300" s="8">
        <f>IF(OR($A300="",$D300=""),"",IF($H300&gt;0,$D300+ROW()/100000,""))</f>
        <v/>
      </c>
    </row>
    <row r="301">
      <c r="A301" s="4" t="n"/>
      <c r="B301" s="8">
        <f>IF($A301="","",IFERROR(INDEX('Items'!$B$3:$B$202,MATCH($A301,'Items'!$A$3:$A$202,0)),""))</f>
        <v/>
      </c>
      <c r="C301" s="4" t="n"/>
      <c r="D301" s="5" t="n"/>
      <c r="E301" s="6" t="n"/>
      <c r="F301" s="5" t="n"/>
      <c r="G301" s="4" t="n"/>
      <c r="H301" s="16">
        <f>IF($A301="","",$E301-SUMIFS('Movements'!$F$3:$F$1002,'Movements'!$B$3:$B$1002,$A301,'Movements'!$D$3:$D$1002,$C301,'Movements'!$E$3:$E$1002,"Out")-SUMIFS('Movements'!$F$3:$F$1002,'Movements'!$B$3:$B$1002,$A301,'Movements'!$D$3:$D$1002,$C301,'Movements'!$E$3:$E$1002,"Waste")+SUMIFS('Movements'!$F$3:$F$1002,'Movements'!$B$3:$B$1002,$A301,'Movements'!$D$3:$D$1002,$C301,'Movements'!$E$3:$E$1002,"In"))</f>
        <v/>
      </c>
      <c r="I301" s="16">
        <f>IF(OR($A301="",$D301=""),"",$D301-'Settings'!$B$6)</f>
        <v/>
      </c>
      <c r="J301" s="8">
        <f>IF(OR($A301="",$D301=""),"",IF($H301&gt;0,$D301+ROW()/100000,""))</f>
        <v/>
      </c>
    </row>
    <row r="302">
      <c r="A302" s="4" t="n"/>
      <c r="B302" s="8">
        <f>IF($A302="","",IFERROR(INDEX('Items'!$B$3:$B$202,MATCH($A302,'Items'!$A$3:$A$202,0)),""))</f>
        <v/>
      </c>
      <c r="C302" s="4" t="n"/>
      <c r="D302" s="5" t="n"/>
      <c r="E302" s="6" t="n"/>
      <c r="F302" s="5" t="n"/>
      <c r="G302" s="4" t="n"/>
      <c r="H302" s="16">
        <f>IF($A302="","",$E302-SUMIFS('Movements'!$F$3:$F$1002,'Movements'!$B$3:$B$1002,$A302,'Movements'!$D$3:$D$1002,$C302,'Movements'!$E$3:$E$1002,"Out")-SUMIFS('Movements'!$F$3:$F$1002,'Movements'!$B$3:$B$1002,$A302,'Movements'!$D$3:$D$1002,$C302,'Movements'!$E$3:$E$1002,"Waste")+SUMIFS('Movements'!$F$3:$F$1002,'Movements'!$B$3:$B$1002,$A302,'Movements'!$D$3:$D$1002,$C302,'Movements'!$E$3:$E$1002,"In"))</f>
        <v/>
      </c>
      <c r="I302" s="16">
        <f>IF(OR($A302="",$D302=""),"",$D302-'Settings'!$B$6)</f>
        <v/>
      </c>
      <c r="J302" s="8">
        <f>IF(OR($A302="",$D302=""),"",IF($H302&gt;0,$D302+ROW()/100000,""))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J302"/>
  <mergeCells count="1">
    <mergeCell ref="A1:J1"/>
  </mergeCells>
  <conditionalFormatting sqref="I3:I302">
    <cfRule type="expression" priority="1" dxfId="0">
      <formula>AND(ISNUMBER($I3),$I3&lt;'Settings'!$B$8,$H3&gt;0)</formula>
    </cfRule>
    <cfRule type="expression" priority="2" dxfId="1">
      <formula>AND(ISNUMBER($I3),$I3&lt;'Settings'!$B$9,$H3&gt;0)</formula>
    </cfRule>
  </conditionalFormatting>
  <dataValidations count="1">
    <dataValidation sqref="G3:G302" showDropDown="0" showInputMessage="0" showErrorMessage="0" allowBlank="1" errorTitle="Not in the list" error="Pick from the list." type="list">
      <formula1>=Branches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9C4221"/>
    <outlinePr summaryBelow="1" summaryRight="1"/>
    <pageSetUpPr fitToPage="1"/>
  </sheetPr>
  <dimension ref="A1:K10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30" customWidth="1" min="3" max="3"/>
    <col width="12" customWidth="1" min="4" max="4"/>
    <col width="10" customWidth="1" min="5" max="5"/>
    <col width="9" customWidth="1" min="6" max="6"/>
    <col width="14" customWidth="1" min="7" max="7"/>
    <col width="14" customWidth="1" min="8" max="8"/>
    <col width="26" customWidth="1" min="9" max="9"/>
    <col width="14" customWidth="1" min="10" max="10"/>
  </cols>
  <sheetData>
    <row r="1" ht="22" customHeight="1">
      <c r="A1" s="12" t="inlineStr">
        <is>
          <t>Sample data: delete it and start. How to clear it is on the How to use sheet.</t>
        </is>
      </c>
      <c r="K1" s="2" t="inlineStr">
        <is>
          <t>Out and waste: From branch. In: To branch. Transfer: both. Deliveries go on Batches.</t>
        </is>
      </c>
    </row>
    <row r="2" ht="32" customHeight="1">
      <c r="A2" s="7" t="inlineStr">
        <is>
          <t>Date</t>
        </is>
      </c>
      <c r="B2" s="7" t="inlineStr">
        <is>
          <t>Item code</t>
        </is>
      </c>
      <c r="C2" s="7" t="inlineStr">
        <is>
          <t>Item</t>
        </is>
      </c>
      <c r="D2" s="7" t="inlineStr">
        <is>
          <t>Batch no.</t>
        </is>
      </c>
      <c r="E2" s="7" t="inlineStr">
        <is>
          <t>Type</t>
        </is>
      </c>
      <c r="F2" s="7" t="inlineStr">
        <is>
          <t>Quantity</t>
        </is>
      </c>
      <c r="G2" s="7" t="inlineStr">
        <is>
          <t>From branch</t>
        </is>
      </c>
      <c r="H2" s="7" t="inlineStr">
        <is>
          <t>To branch</t>
        </is>
      </c>
      <c r="I2" s="7" t="inlineStr">
        <is>
          <t>Reason</t>
        </is>
      </c>
      <c r="J2" s="7" t="inlineStr">
        <is>
          <t>By</t>
        </is>
      </c>
    </row>
    <row r="3">
      <c r="A3" s="5" t="n">
        <v>46236</v>
      </c>
      <c r="B3" s="4" t="inlineStr">
        <is>
          <t>INV-010</t>
        </is>
      </c>
      <c r="C3" s="8">
        <f>IF($B3="","",IFERROR(INDEX('Items'!$B$3:$B$202,MATCH($B3,'Items'!$A$3:$A$202,0)),""))</f>
        <v/>
      </c>
      <c r="D3" s="4" t="inlineStr">
        <is>
          <t>L11187</t>
        </is>
      </c>
      <c r="E3" s="4" t="inlineStr">
        <is>
          <t>Out</t>
        </is>
      </c>
      <c r="F3" s="6" t="n">
        <v>1</v>
      </c>
      <c r="G3" s="4" t="inlineStr">
        <is>
          <t>North branch</t>
        </is>
      </c>
      <c r="H3" s="4" t="n"/>
      <c r="I3" s="4" t="inlineStr">
        <is>
          <t>Issued to clinic rooms</t>
        </is>
      </c>
      <c r="J3" s="4" t="inlineStr">
        <is>
          <t>Yasmin Ali</t>
        </is>
      </c>
    </row>
    <row r="4">
      <c r="A4" s="5" t="n">
        <v>46236</v>
      </c>
      <c r="B4" s="4" t="inlineStr">
        <is>
          <t>INV-011</t>
        </is>
      </c>
      <c r="C4" s="8">
        <f>IF($B4="","",IFERROR(INDEX('Items'!$B$3:$B$202,MATCH($B4,'Items'!$A$3:$A$202,0)),""))</f>
        <v/>
      </c>
      <c r="D4" s="4" t="inlineStr">
        <is>
          <t>L11330</t>
        </is>
      </c>
      <c r="E4" s="4" t="inlineStr">
        <is>
          <t>Out</t>
        </is>
      </c>
      <c r="F4" s="6" t="n">
        <v>3</v>
      </c>
      <c r="G4" s="4" t="inlineStr">
        <is>
          <t>North branch</t>
        </is>
      </c>
      <c r="H4" s="4" t="n"/>
      <c r="I4" s="4" t="inlineStr">
        <is>
          <t>Issued to clinic rooms</t>
        </is>
      </c>
      <c r="J4" s="4" t="inlineStr">
        <is>
          <t>Yasmin Ali</t>
        </is>
      </c>
    </row>
    <row r="5">
      <c r="A5" s="5" t="n">
        <v>46236</v>
      </c>
      <c r="B5" s="4" t="inlineStr">
        <is>
          <t>INV-018</t>
        </is>
      </c>
      <c r="C5" s="8">
        <f>IF($B5="","",IFERROR(INDEX('Items'!$B$3:$B$202,MATCH($B5,'Items'!$A$3:$A$202,0)),""))</f>
        <v/>
      </c>
      <c r="D5" s="4" t="inlineStr">
        <is>
          <t>L7119</t>
        </is>
      </c>
      <c r="E5" s="4" t="inlineStr">
        <is>
          <t>Out</t>
        </is>
      </c>
      <c r="F5" s="6" t="n">
        <v>1</v>
      </c>
      <c r="G5" s="4" t="inlineStr">
        <is>
          <t>Main branch</t>
        </is>
      </c>
      <c r="H5" s="4" t="n"/>
      <c r="I5" s="4" t="inlineStr">
        <is>
          <t>Issued to clinic rooms</t>
        </is>
      </c>
      <c r="J5" s="4" t="inlineStr">
        <is>
          <t>Fatima Saad</t>
        </is>
      </c>
    </row>
    <row r="6">
      <c r="A6" s="5" t="n">
        <v>46236</v>
      </c>
      <c r="B6" s="4" t="inlineStr">
        <is>
          <t>INV-027</t>
        </is>
      </c>
      <c r="C6" s="8">
        <f>IF($B6="","",IFERROR(INDEX('Items'!$B$3:$B$202,MATCH($B6,'Items'!$A$3:$A$202,0)),""))</f>
        <v/>
      </c>
      <c r="D6" s="4" t="inlineStr">
        <is>
          <t>L8487</t>
        </is>
      </c>
      <c r="E6" s="4" t="inlineStr">
        <is>
          <t>Out</t>
        </is>
      </c>
      <c r="F6" s="6" t="n">
        <v>3</v>
      </c>
      <c r="G6" s="4" t="inlineStr">
        <is>
          <t>Main branch</t>
        </is>
      </c>
      <c r="H6" s="4" t="n"/>
      <c r="I6" s="4" t="inlineStr">
        <is>
          <t>Issued to clinic rooms</t>
        </is>
      </c>
      <c r="J6" s="4" t="inlineStr">
        <is>
          <t>Fatima Saad</t>
        </is>
      </c>
    </row>
    <row r="7">
      <c r="A7" s="5" t="n">
        <v>46236</v>
      </c>
      <c r="B7" s="4" t="inlineStr">
        <is>
          <t>INV-034</t>
        </is>
      </c>
      <c r="C7" s="8">
        <f>IF($B7="","",IFERROR(INDEX('Items'!$B$3:$B$202,MATCH($B7,'Items'!$A$3:$A$202,0)),""))</f>
        <v/>
      </c>
      <c r="D7" s="4" t="inlineStr">
        <is>
          <t>L9240</t>
        </is>
      </c>
      <c r="E7" s="4" t="inlineStr">
        <is>
          <t>Out</t>
        </is>
      </c>
      <c r="F7" s="6" t="n">
        <v>1</v>
      </c>
      <c r="G7" s="4" t="inlineStr">
        <is>
          <t>Main branch</t>
        </is>
      </c>
      <c r="H7" s="4" t="n"/>
      <c r="I7" s="4" t="inlineStr">
        <is>
          <t>Issued to clinic rooms</t>
        </is>
      </c>
      <c r="J7" s="4" t="inlineStr">
        <is>
          <t>Omar Hassan</t>
        </is>
      </c>
    </row>
    <row r="8">
      <c r="A8" s="5" t="n">
        <v>46236</v>
      </c>
      <c r="B8" s="4" t="inlineStr">
        <is>
          <t>INV-038</t>
        </is>
      </c>
      <c r="C8" s="8">
        <f>IF($B8="","",IFERROR(INDEX('Items'!$B$3:$B$202,MATCH($B8,'Items'!$A$3:$A$202,0)),""))</f>
        <v/>
      </c>
      <c r="D8" s="4" t="inlineStr">
        <is>
          <t>L9661</t>
        </is>
      </c>
      <c r="E8" s="4" t="inlineStr">
        <is>
          <t>Out</t>
        </is>
      </c>
      <c r="F8" s="6" t="n">
        <v>4</v>
      </c>
      <c r="G8" s="4" t="inlineStr">
        <is>
          <t>Main branch</t>
        </is>
      </c>
      <c r="H8" s="4" t="n"/>
      <c r="I8" s="4" t="inlineStr">
        <is>
          <t>Issued to clinic rooms</t>
        </is>
      </c>
      <c r="J8" s="4" t="inlineStr">
        <is>
          <t>Omar Hassan</t>
        </is>
      </c>
    </row>
    <row r="9">
      <c r="A9" s="5" t="n">
        <v>46236</v>
      </c>
      <c r="B9" s="4" t="inlineStr">
        <is>
          <t>INV-043</t>
        </is>
      </c>
      <c r="C9" s="8">
        <f>IF($B9="","",IFERROR(INDEX('Items'!$B$3:$B$202,MATCH($B9,'Items'!$A$3:$A$202,0)),""))</f>
        <v/>
      </c>
      <c r="D9" s="4" t="inlineStr">
        <is>
          <t>L10331</t>
        </is>
      </c>
      <c r="E9" s="4" t="inlineStr">
        <is>
          <t>Out</t>
        </is>
      </c>
      <c r="F9" s="6" t="n">
        <v>2</v>
      </c>
      <c r="G9" s="4" t="inlineStr">
        <is>
          <t>Main branch</t>
        </is>
      </c>
      <c r="H9" s="4" t="n"/>
      <c r="I9" s="4" t="inlineStr">
        <is>
          <t>Issued to clinic rooms</t>
        </is>
      </c>
      <c r="J9" s="4" t="inlineStr">
        <is>
          <t>Omar Hassan</t>
        </is>
      </c>
    </row>
    <row r="10">
      <c r="A10" s="5" t="n">
        <v>46237</v>
      </c>
      <c r="B10" s="4" t="inlineStr">
        <is>
          <t>INV-001</t>
        </is>
      </c>
      <c r="C10" s="8">
        <f>IF($B10="","",IFERROR(INDEX('Items'!$B$3:$B$202,MATCH($B10,'Items'!$A$3:$A$202,0)),""))</f>
        <v/>
      </c>
      <c r="D10" s="4" t="inlineStr">
        <is>
          <t>L5032</t>
        </is>
      </c>
      <c r="E10" s="4" t="inlineStr">
        <is>
          <t>Out</t>
        </is>
      </c>
      <c r="F10" s="6" t="n">
        <v>6</v>
      </c>
      <c r="G10" s="4" t="inlineStr">
        <is>
          <t>Main branch</t>
        </is>
      </c>
      <c r="H10" s="4" t="n"/>
      <c r="I10" s="4" t="inlineStr">
        <is>
          <t>Issued to clinic rooms</t>
        </is>
      </c>
      <c r="J10" s="4" t="inlineStr">
        <is>
          <t>Mona Fahad</t>
        </is>
      </c>
    </row>
    <row r="11">
      <c r="A11" s="5" t="n">
        <v>46237</v>
      </c>
      <c r="B11" s="4" t="inlineStr">
        <is>
          <t>INV-007</t>
        </is>
      </c>
      <c r="C11" s="8">
        <f>IF($B11="","",IFERROR(INDEX('Items'!$B$3:$B$202,MATCH($B11,'Items'!$A$3:$A$202,0)),""))</f>
        <v/>
      </c>
      <c r="D11" s="4" t="inlineStr">
        <is>
          <t>L5978</t>
        </is>
      </c>
      <c r="E11" s="4" t="inlineStr">
        <is>
          <t>Out</t>
        </is>
      </c>
      <c r="F11" s="6" t="n">
        <v>2</v>
      </c>
      <c r="G11" s="4" t="inlineStr">
        <is>
          <t>Main branch</t>
        </is>
      </c>
      <c r="H11" s="4" t="n"/>
      <c r="I11" s="4" t="inlineStr">
        <is>
          <t>Issued to clinic rooms</t>
        </is>
      </c>
      <c r="J11" s="4" t="inlineStr">
        <is>
          <t>Mona Fahad</t>
        </is>
      </c>
    </row>
    <row r="12">
      <c r="A12" s="5" t="n">
        <v>46237</v>
      </c>
      <c r="B12" s="4" t="inlineStr">
        <is>
          <t>INV-008</t>
        </is>
      </c>
      <c r="C12" s="8">
        <f>IF($B12="","",IFERROR(INDEX('Items'!$B$3:$B$202,MATCH($B12,'Items'!$A$3:$A$202,0)),""))</f>
        <v/>
      </c>
      <c r="D12" s="4" t="inlineStr">
        <is>
          <t>L6096</t>
        </is>
      </c>
      <c r="E12" s="4" t="inlineStr">
        <is>
          <t>Out</t>
        </is>
      </c>
      <c r="F12" s="6" t="n">
        <v>2</v>
      </c>
      <c r="G12" s="4" t="inlineStr">
        <is>
          <t>Main branch</t>
        </is>
      </c>
      <c r="H12" s="4" t="n"/>
      <c r="I12" s="4" t="inlineStr">
        <is>
          <t>Issued to clinic rooms</t>
        </is>
      </c>
      <c r="J12" s="4" t="inlineStr">
        <is>
          <t>Mona Fahad</t>
        </is>
      </c>
    </row>
    <row r="13">
      <c r="A13" s="5" t="n">
        <v>46237</v>
      </c>
      <c r="B13" s="4" t="inlineStr">
        <is>
          <t>INV-010</t>
        </is>
      </c>
      <c r="C13" s="8">
        <f>IF($B13="","",IFERROR(INDEX('Items'!$B$3:$B$202,MATCH($B13,'Items'!$A$3:$A$202,0)),""))</f>
        <v/>
      </c>
      <c r="D13" s="4" t="inlineStr">
        <is>
          <t>L6307</t>
        </is>
      </c>
      <c r="E13" s="4" t="inlineStr">
        <is>
          <t>Out</t>
        </is>
      </c>
      <c r="F13" s="6" t="n">
        <v>1</v>
      </c>
      <c r="G13" s="4" t="inlineStr">
        <is>
          <t>Main branch</t>
        </is>
      </c>
      <c r="H13" s="4" t="n"/>
      <c r="I13" s="4" t="inlineStr">
        <is>
          <t>Issued to clinic rooms</t>
        </is>
      </c>
      <c r="J13" s="4" t="inlineStr">
        <is>
          <t>Fatima Saad</t>
        </is>
      </c>
    </row>
    <row r="14">
      <c r="A14" s="5" t="n">
        <v>46237</v>
      </c>
      <c r="B14" s="4" t="inlineStr">
        <is>
          <t>INV-017</t>
        </is>
      </c>
      <c r="C14" s="8">
        <f>IF($B14="","",IFERROR(INDEX('Items'!$B$3:$B$202,MATCH($B14,'Items'!$A$3:$A$202,0)),""))</f>
        <v/>
      </c>
      <c r="D14" s="4" t="inlineStr">
        <is>
          <t>L11640</t>
        </is>
      </c>
      <c r="E14" s="4" t="inlineStr">
        <is>
          <t>Out</t>
        </is>
      </c>
      <c r="F14" s="6" t="n">
        <v>3</v>
      </c>
      <c r="G14" s="4" t="inlineStr">
        <is>
          <t>North branch</t>
        </is>
      </c>
      <c r="H14" s="4" t="n"/>
      <c r="I14" s="4" t="inlineStr">
        <is>
          <t>Issued to clinic rooms</t>
        </is>
      </c>
      <c r="J14" s="4" t="inlineStr">
        <is>
          <t>Yasmin Ali</t>
        </is>
      </c>
    </row>
    <row r="15">
      <c r="A15" s="5" t="n">
        <v>46237</v>
      </c>
      <c r="B15" s="4" t="inlineStr">
        <is>
          <t>INV-021</t>
        </is>
      </c>
      <c r="C15" s="8">
        <f>IF($B15="","",IFERROR(INDEX('Items'!$B$3:$B$202,MATCH($B15,'Items'!$A$3:$A$202,0)),""))</f>
        <v/>
      </c>
      <c r="D15" s="4" t="inlineStr">
        <is>
          <t>L7591</t>
        </is>
      </c>
      <c r="E15" s="4" t="inlineStr">
        <is>
          <t>Out</t>
        </is>
      </c>
      <c r="F15" s="6" t="n">
        <v>2</v>
      </c>
      <c r="G15" s="4" t="inlineStr">
        <is>
          <t>Main branch</t>
        </is>
      </c>
      <c r="H15" s="4" t="n"/>
      <c r="I15" s="4" t="inlineStr">
        <is>
          <t>Issued to clinic rooms</t>
        </is>
      </c>
      <c r="J15" s="4" t="inlineStr">
        <is>
          <t>Fatima Saad</t>
        </is>
      </c>
    </row>
    <row r="16">
      <c r="A16" s="5" t="n">
        <v>46237</v>
      </c>
      <c r="B16" s="4" t="inlineStr">
        <is>
          <t>INV-033</t>
        </is>
      </c>
      <c r="C16" s="8">
        <f>IF($B16="","",IFERROR(INDEX('Items'!$B$3:$B$202,MATCH($B16,'Items'!$A$3:$A$202,0)),""))</f>
        <v/>
      </c>
      <c r="D16" s="4" t="inlineStr">
        <is>
          <t>L9024</t>
        </is>
      </c>
      <c r="E16" s="4" t="inlineStr">
        <is>
          <t>Out</t>
        </is>
      </c>
      <c r="F16" s="6" t="n">
        <v>2</v>
      </c>
      <c r="G16" s="4" t="inlineStr">
        <is>
          <t>Main branch</t>
        </is>
      </c>
      <c r="H16" s="4" t="n"/>
      <c r="I16" s="4" t="inlineStr">
        <is>
          <t>Issued to clinic rooms</t>
        </is>
      </c>
      <c r="J16" s="4" t="inlineStr">
        <is>
          <t>Omar Hassan</t>
        </is>
      </c>
    </row>
    <row r="17">
      <c r="A17" s="5" t="n">
        <v>46237</v>
      </c>
      <c r="B17" s="4" t="inlineStr">
        <is>
          <t>INV-033</t>
        </is>
      </c>
      <c r="C17" s="8">
        <f>IF($B17="","",IFERROR(INDEX('Items'!$B$3:$B$202,MATCH($B17,'Items'!$A$3:$A$202,0)),""))</f>
        <v/>
      </c>
      <c r="D17" s="4" t="inlineStr">
        <is>
          <t>L11760</t>
        </is>
      </c>
      <c r="E17" s="4" t="inlineStr">
        <is>
          <t>Out</t>
        </is>
      </c>
      <c r="F17" s="6" t="n">
        <v>2</v>
      </c>
      <c r="G17" s="4" t="inlineStr">
        <is>
          <t>North branch</t>
        </is>
      </c>
      <c r="H17" s="4" t="n"/>
      <c r="I17" s="4" t="inlineStr">
        <is>
          <t>Issued to clinic rooms</t>
        </is>
      </c>
      <c r="J17" s="4" t="inlineStr">
        <is>
          <t>Yasmin Ali</t>
        </is>
      </c>
    </row>
    <row r="18">
      <c r="A18" s="5" t="n">
        <v>46237</v>
      </c>
      <c r="B18" s="4" t="inlineStr">
        <is>
          <t>INV-041</t>
        </is>
      </c>
      <c r="C18" s="8">
        <f>IF($B18="","",IFERROR(INDEX('Items'!$B$3:$B$202,MATCH($B18,'Items'!$A$3:$A$202,0)),""))</f>
        <v/>
      </c>
      <c r="D18" s="4" t="inlineStr">
        <is>
          <t>L10095</t>
        </is>
      </c>
      <c r="E18" s="4" t="inlineStr">
        <is>
          <t>Out</t>
        </is>
      </c>
      <c r="F18" s="6" t="n">
        <v>1</v>
      </c>
      <c r="G18" s="4" t="inlineStr">
        <is>
          <t>Main branch</t>
        </is>
      </c>
      <c r="H18" s="4" t="n"/>
      <c r="I18" s="4" t="inlineStr">
        <is>
          <t>Issued to clinic rooms</t>
        </is>
      </c>
      <c r="J18" s="4" t="inlineStr">
        <is>
          <t>Reem Abdullah</t>
        </is>
      </c>
    </row>
    <row r="19">
      <c r="A19" s="5" t="n">
        <v>46238</v>
      </c>
      <c r="B19" s="4" t="inlineStr">
        <is>
          <t>INV-001</t>
        </is>
      </c>
      <c r="C19" s="8">
        <f>IF($B19="","",IFERROR(INDEX('Items'!$B$3:$B$202,MATCH($B19,'Items'!$A$3:$A$202,0)),""))</f>
        <v/>
      </c>
      <c r="D19" s="4" t="inlineStr">
        <is>
          <t>L10689</t>
        </is>
      </c>
      <c r="E19" s="4" t="inlineStr">
        <is>
          <t>Out</t>
        </is>
      </c>
      <c r="F19" s="6" t="n">
        <v>3</v>
      </c>
      <c r="G19" s="4" t="inlineStr">
        <is>
          <t>North branch</t>
        </is>
      </c>
      <c r="H19" s="4" t="n"/>
      <c r="I19" s="4" t="inlineStr">
        <is>
          <t>Issued to clinic rooms</t>
        </is>
      </c>
      <c r="J19" s="4" t="inlineStr">
        <is>
          <t>Yasmin Ali</t>
        </is>
      </c>
    </row>
    <row r="20">
      <c r="A20" s="5" t="n">
        <v>46238</v>
      </c>
      <c r="B20" s="4" t="inlineStr">
        <is>
          <t>INV-003</t>
        </is>
      </c>
      <c r="C20" s="8">
        <f>IF($B20="","",IFERROR(INDEX('Items'!$B$3:$B$202,MATCH($B20,'Items'!$A$3:$A$202,0)),""))</f>
        <v/>
      </c>
      <c r="D20" s="4" t="inlineStr">
        <is>
          <t>L10818</t>
        </is>
      </c>
      <c r="E20" s="4" t="inlineStr">
        <is>
          <t>Out</t>
        </is>
      </c>
      <c r="F20" s="6" t="n">
        <v>3</v>
      </c>
      <c r="G20" s="4" t="inlineStr">
        <is>
          <t>North branch</t>
        </is>
      </c>
      <c r="H20" s="4" t="n"/>
      <c r="I20" s="4" t="inlineStr">
        <is>
          <t>Issued to clinic rooms</t>
        </is>
      </c>
      <c r="J20" s="4" t="inlineStr">
        <is>
          <t>Yasmin Ali</t>
        </is>
      </c>
    </row>
    <row r="21">
      <c r="A21" s="5" t="n">
        <v>46238</v>
      </c>
      <c r="B21" s="4" t="inlineStr">
        <is>
          <t>INV-012</t>
        </is>
      </c>
      <c r="C21" s="8">
        <f>IF($B21="","",IFERROR(INDEX('Items'!$B$3:$B$202,MATCH($B21,'Items'!$A$3:$A$202,0)),""))</f>
        <v/>
      </c>
      <c r="D21" s="4" t="inlineStr">
        <is>
          <t>L11481</t>
        </is>
      </c>
      <c r="E21" s="4" t="inlineStr">
        <is>
          <t>Out</t>
        </is>
      </c>
      <c r="F21" s="6" t="n">
        <v>2</v>
      </c>
      <c r="G21" s="4" t="inlineStr">
        <is>
          <t>North branch</t>
        </is>
      </c>
      <c r="H21" s="4" t="n"/>
      <c r="I21" s="4" t="inlineStr">
        <is>
          <t>Issued to clinic rooms</t>
        </is>
      </c>
      <c r="J21" s="4" t="inlineStr">
        <is>
          <t>Yasmin Ali</t>
        </is>
      </c>
    </row>
    <row r="22">
      <c r="A22" s="5" t="n">
        <v>46238</v>
      </c>
      <c r="B22" s="4" t="inlineStr">
        <is>
          <t>INV-013</t>
        </is>
      </c>
      <c r="C22" s="8">
        <f>IF($B22="","",IFERROR(INDEX('Items'!$B$3:$B$202,MATCH($B22,'Items'!$A$3:$A$202,0)),""))</f>
        <v/>
      </c>
      <c r="D22" s="4" t="inlineStr">
        <is>
          <t>L6671</t>
        </is>
      </c>
      <c r="E22" s="4" t="inlineStr">
        <is>
          <t>Out</t>
        </is>
      </c>
      <c r="F22" s="6" t="n">
        <v>4</v>
      </c>
      <c r="G22" s="4" t="inlineStr">
        <is>
          <t>Main branch</t>
        </is>
      </c>
      <c r="H22" s="4" t="n"/>
      <c r="I22" s="4" t="inlineStr">
        <is>
          <t>Issued to clinic rooms</t>
        </is>
      </c>
      <c r="J22" s="4" t="inlineStr">
        <is>
          <t>Fatima Saad</t>
        </is>
      </c>
    </row>
    <row r="23">
      <c r="A23" s="5" t="n">
        <v>46238</v>
      </c>
      <c r="B23" s="4" t="inlineStr">
        <is>
          <t>INV-015</t>
        </is>
      </c>
      <c r="C23" s="8">
        <f>IF($B23="","",IFERROR(INDEX('Items'!$B$3:$B$202,MATCH($B23,'Items'!$A$3:$A$202,0)),""))</f>
        <v/>
      </c>
      <c r="D23" s="4" t="inlineStr">
        <is>
          <t>L6900</t>
        </is>
      </c>
      <c r="E23" s="4" t="inlineStr">
        <is>
          <t>Out</t>
        </is>
      </c>
      <c r="F23" s="6" t="n">
        <v>1</v>
      </c>
      <c r="G23" s="4" t="inlineStr">
        <is>
          <t>Main branch</t>
        </is>
      </c>
      <c r="H23" s="4" t="n"/>
      <c r="I23" s="4" t="inlineStr">
        <is>
          <t>Issued to clinic rooms</t>
        </is>
      </c>
      <c r="J23" s="4" t="inlineStr">
        <is>
          <t>Mona Fahad</t>
        </is>
      </c>
    </row>
    <row r="24">
      <c r="A24" s="5" t="n">
        <v>46238</v>
      </c>
      <c r="B24" s="4" t="inlineStr">
        <is>
          <t>INV-019</t>
        </is>
      </c>
      <c r="C24" s="8">
        <f>IF($B24="","",IFERROR(INDEX('Items'!$B$3:$B$202,MATCH($B24,'Items'!$A$3:$A$202,0)),""))</f>
        <v/>
      </c>
      <c r="D24" s="4" t="inlineStr">
        <is>
          <t>L7281</t>
        </is>
      </c>
      <c r="E24" s="4" t="inlineStr">
        <is>
          <t>Out</t>
        </is>
      </c>
      <c r="F24" s="6" t="n">
        <v>2</v>
      </c>
      <c r="G24" s="4" t="inlineStr">
        <is>
          <t>Main branch</t>
        </is>
      </c>
      <c r="H24" s="4" t="n"/>
      <c r="I24" s="4" t="inlineStr">
        <is>
          <t>Issued to clinic rooms</t>
        </is>
      </c>
      <c r="J24" s="4" t="inlineStr">
        <is>
          <t>Mona Fahad</t>
        </is>
      </c>
    </row>
    <row r="25">
      <c r="A25" s="5" t="n">
        <v>46238</v>
      </c>
      <c r="B25" s="4" t="inlineStr">
        <is>
          <t>INV-020</t>
        </is>
      </c>
      <c r="C25" s="8">
        <f>IF($B25="","",IFERROR(INDEX('Items'!$B$3:$B$202,MATCH($B25,'Items'!$A$3:$A$202,0)),""))</f>
        <v/>
      </c>
      <c r="D25" s="4" t="inlineStr">
        <is>
          <t>L7439</t>
        </is>
      </c>
      <c r="E25" s="4" t="inlineStr">
        <is>
          <t>Out</t>
        </is>
      </c>
      <c r="F25" s="6" t="n">
        <v>1</v>
      </c>
      <c r="G25" s="4" t="inlineStr">
        <is>
          <t>Main branch</t>
        </is>
      </c>
      <c r="H25" s="4" t="n"/>
      <c r="I25" s="4" t="inlineStr">
        <is>
          <t>Issued to clinic rooms</t>
        </is>
      </c>
      <c r="J25" s="4" t="inlineStr">
        <is>
          <t>Mona Fahad</t>
        </is>
      </c>
    </row>
    <row r="26">
      <c r="A26" s="5" t="n">
        <v>46238</v>
      </c>
      <c r="B26" s="4" t="inlineStr">
        <is>
          <t>INV-022</t>
        </is>
      </c>
      <c r="C26" s="8">
        <f>IF($B26="","",IFERROR(INDEX('Items'!$B$3:$B$202,MATCH($B26,'Items'!$A$3:$A$202,0)),""))</f>
        <v/>
      </c>
      <c r="D26" s="4" t="inlineStr">
        <is>
          <t>L7798</t>
        </is>
      </c>
      <c r="E26" s="4" t="inlineStr">
        <is>
          <t>Out</t>
        </is>
      </c>
      <c r="F26" s="6" t="n">
        <v>2</v>
      </c>
      <c r="G26" s="4" t="inlineStr">
        <is>
          <t>Main branch</t>
        </is>
      </c>
      <c r="H26" s="4" t="n"/>
      <c r="I26" s="4" t="inlineStr">
        <is>
          <t>Issued to clinic rooms</t>
        </is>
      </c>
      <c r="J26" s="4" t="inlineStr">
        <is>
          <t>Fatima Saad</t>
        </is>
      </c>
    </row>
    <row r="27">
      <c r="A27" s="5" t="n">
        <v>46238</v>
      </c>
      <c r="B27" s="4" t="inlineStr">
        <is>
          <t>INV-024</t>
        </is>
      </c>
      <c r="C27" s="8">
        <f>IF($B27="","",IFERROR(INDEX('Items'!$B$3:$B$202,MATCH($B27,'Items'!$A$3:$A$202,0)),""))</f>
        <v/>
      </c>
      <c r="D27" s="4" t="inlineStr">
        <is>
          <t>L8110</t>
        </is>
      </c>
      <c r="E27" s="4" t="inlineStr">
        <is>
          <t>Out</t>
        </is>
      </c>
      <c r="F27" s="6" t="n">
        <v>4</v>
      </c>
      <c r="G27" s="4" t="inlineStr">
        <is>
          <t>Main branch</t>
        </is>
      </c>
      <c r="H27" s="4" t="n"/>
      <c r="I27" s="4" t="inlineStr">
        <is>
          <t>Issued to clinic rooms</t>
        </is>
      </c>
      <c r="J27" s="4" t="inlineStr">
        <is>
          <t>Mona Fahad</t>
        </is>
      </c>
    </row>
    <row r="28">
      <c r="A28" s="5" t="n">
        <v>46238</v>
      </c>
      <c r="B28" s="4" t="inlineStr">
        <is>
          <t>INV-026</t>
        </is>
      </c>
      <c r="C28" s="8">
        <f>IF($B28="","",IFERROR(INDEX('Items'!$B$3:$B$202,MATCH($B28,'Items'!$A$3:$A$202,0)),""))</f>
        <v/>
      </c>
      <c r="D28" s="4" t="inlineStr">
        <is>
          <t>L8406</t>
        </is>
      </c>
      <c r="E28" s="4" t="inlineStr">
        <is>
          <t>Out</t>
        </is>
      </c>
      <c r="F28" s="6" t="n">
        <v>2</v>
      </c>
      <c r="G28" s="4" t="inlineStr">
        <is>
          <t>Main branch</t>
        </is>
      </c>
      <c r="H28" s="4" t="n"/>
      <c r="I28" s="4" t="inlineStr">
        <is>
          <t>Issued to clinic rooms</t>
        </is>
      </c>
      <c r="J28" s="4" t="inlineStr">
        <is>
          <t>Fatima Saad</t>
        </is>
      </c>
    </row>
    <row r="29">
      <c r="A29" s="5" t="n">
        <v>46238</v>
      </c>
      <c r="B29" s="4" t="inlineStr">
        <is>
          <t>INV-036</t>
        </is>
      </c>
      <c r="C29" s="8">
        <f>IF($B29="","",IFERROR(INDEX('Items'!$B$3:$B$202,MATCH($B29,'Items'!$A$3:$A$202,0)),""))</f>
        <v/>
      </c>
      <c r="D29" s="4" t="inlineStr">
        <is>
          <t>L9411</t>
        </is>
      </c>
      <c r="E29" s="4" t="inlineStr">
        <is>
          <t>Out</t>
        </is>
      </c>
      <c r="F29" s="6" t="n">
        <v>1</v>
      </c>
      <c r="G29" s="4" t="inlineStr">
        <is>
          <t>Main branch</t>
        </is>
      </c>
      <c r="H29" s="4" t="n"/>
      <c r="I29" s="4" t="inlineStr">
        <is>
          <t>Issued to clinic rooms</t>
        </is>
      </c>
      <c r="J29" s="4" t="inlineStr">
        <is>
          <t>Omar Hassan</t>
        </is>
      </c>
    </row>
    <row r="30">
      <c r="A30" s="5" t="n">
        <v>46239</v>
      </c>
      <c r="B30" s="4" t="inlineStr">
        <is>
          <t>INV-004</t>
        </is>
      </c>
      <c r="C30" s="8">
        <f>IF($B30="","",IFERROR(INDEX('Items'!$B$3:$B$202,MATCH($B30,'Items'!$A$3:$A$202,0)),""))</f>
        <v/>
      </c>
      <c r="D30" s="4" t="inlineStr">
        <is>
          <t>L11045</t>
        </is>
      </c>
      <c r="E30" s="4" t="inlineStr">
        <is>
          <t>Out</t>
        </is>
      </c>
      <c r="F30" s="6" t="n">
        <v>3</v>
      </c>
      <c r="G30" s="4" t="inlineStr">
        <is>
          <t>North branch</t>
        </is>
      </c>
      <c r="H30" s="4" t="n"/>
      <c r="I30" s="4" t="inlineStr">
        <is>
          <t>Issued to clinic rooms</t>
        </is>
      </c>
      <c r="J30" s="4" t="inlineStr">
        <is>
          <t>Yasmin Ali</t>
        </is>
      </c>
    </row>
    <row r="31">
      <c r="A31" s="5" t="n">
        <v>46239</v>
      </c>
      <c r="B31" s="4" t="inlineStr">
        <is>
          <t>INV-005</t>
        </is>
      </c>
      <c r="C31" s="8">
        <f>IF($B31="","",IFERROR(INDEX('Items'!$B$3:$B$202,MATCH($B31,'Items'!$A$3:$A$202,0)),""))</f>
        <v/>
      </c>
      <c r="D31" s="4" t="inlineStr">
        <is>
          <t>L5648</t>
        </is>
      </c>
      <c r="E31" s="4" t="inlineStr">
        <is>
          <t>Out</t>
        </is>
      </c>
      <c r="F31" s="6" t="n">
        <v>4</v>
      </c>
      <c r="G31" s="4" t="inlineStr">
        <is>
          <t>Main branch</t>
        </is>
      </c>
      <c r="H31" s="4" t="n"/>
      <c r="I31" s="4" t="inlineStr">
        <is>
          <t>Issued to clinic rooms</t>
        </is>
      </c>
      <c r="J31" s="4" t="inlineStr">
        <is>
          <t>Mona Fahad</t>
        </is>
      </c>
    </row>
    <row r="32">
      <c r="A32" s="5" t="n">
        <v>46239</v>
      </c>
      <c r="B32" s="4" t="inlineStr">
        <is>
          <t>INV-009</t>
        </is>
      </c>
      <c r="C32" s="8">
        <f>IF($B32="","",IFERROR(INDEX('Items'!$B$3:$B$202,MATCH($B32,'Items'!$A$3:$A$202,0)),""))</f>
        <v/>
      </c>
      <c r="D32" s="4" t="inlineStr">
        <is>
          <t>L6258</t>
        </is>
      </c>
      <c r="E32" s="4" t="inlineStr">
        <is>
          <t>Out</t>
        </is>
      </c>
      <c r="F32" s="6" t="n">
        <v>1</v>
      </c>
      <c r="G32" s="4" t="inlineStr">
        <is>
          <t>Main branch</t>
        </is>
      </c>
      <c r="H32" s="4" t="n"/>
      <c r="I32" s="4" t="inlineStr">
        <is>
          <t>Issued to clinic rooms</t>
        </is>
      </c>
      <c r="J32" s="4" t="inlineStr">
        <is>
          <t>Mona Fahad</t>
        </is>
      </c>
    </row>
    <row r="33">
      <c r="A33" s="5" t="n">
        <v>46239</v>
      </c>
      <c r="B33" s="4" t="inlineStr">
        <is>
          <t>INV-012</t>
        </is>
      </c>
      <c r="C33" s="8">
        <f>IF($B33="","",IFERROR(INDEX('Items'!$B$3:$B$202,MATCH($B33,'Items'!$A$3:$A$202,0)),""))</f>
        <v/>
      </c>
      <c r="D33" s="4" t="inlineStr">
        <is>
          <t>L6488</t>
        </is>
      </c>
      <c r="E33" s="4" t="inlineStr">
        <is>
          <t>Out</t>
        </is>
      </c>
      <c r="F33" s="6" t="n">
        <v>5</v>
      </c>
      <c r="G33" s="4" t="inlineStr">
        <is>
          <t>Main branch</t>
        </is>
      </c>
      <c r="H33" s="4" t="n"/>
      <c r="I33" s="4" t="inlineStr">
        <is>
          <t>Issued to clinic rooms</t>
        </is>
      </c>
      <c r="J33" s="4" t="inlineStr">
        <is>
          <t>Mona Fahad</t>
        </is>
      </c>
    </row>
    <row r="34">
      <c r="A34" s="5" t="n">
        <v>46239</v>
      </c>
      <c r="B34" s="4" t="inlineStr">
        <is>
          <t>INV-014</t>
        </is>
      </c>
      <c r="C34" s="8">
        <f>IF($B34="","",IFERROR(INDEX('Items'!$B$3:$B$202,MATCH($B34,'Items'!$A$3:$A$202,0)),""))</f>
        <v/>
      </c>
      <c r="D34" s="4" t="inlineStr">
        <is>
          <t>L6750</t>
        </is>
      </c>
      <c r="E34" s="4" t="inlineStr">
        <is>
          <t>Out</t>
        </is>
      </c>
      <c r="F34" s="6" t="n">
        <v>2</v>
      </c>
      <c r="G34" s="4" t="inlineStr">
        <is>
          <t>Main branch</t>
        </is>
      </c>
      <c r="H34" s="4" t="n"/>
      <c r="I34" s="4" t="inlineStr">
        <is>
          <t>Issued to clinic rooms</t>
        </is>
      </c>
      <c r="J34" s="4" t="inlineStr">
        <is>
          <t>Mona Fahad</t>
        </is>
      </c>
    </row>
    <row r="35">
      <c r="A35" s="5" t="n">
        <v>46239</v>
      </c>
      <c r="B35" s="4" t="inlineStr">
        <is>
          <t>INV-017</t>
        </is>
      </c>
      <c r="C35" s="8">
        <f>IF($B35="","",IFERROR(INDEX('Items'!$B$3:$B$202,MATCH($B35,'Items'!$A$3:$A$202,0)),""))</f>
        <v/>
      </c>
      <c r="D35" s="4" t="inlineStr">
        <is>
          <t>L7018</t>
        </is>
      </c>
      <c r="E35" s="4" t="inlineStr">
        <is>
          <t>Out</t>
        </is>
      </c>
      <c r="F35" s="6" t="n">
        <v>7</v>
      </c>
      <c r="G35" s="4" t="inlineStr">
        <is>
          <t>Main branch</t>
        </is>
      </c>
      <c r="H35" s="4" t="n"/>
      <c r="I35" s="4" t="inlineStr">
        <is>
          <t>Issued to clinic rooms</t>
        </is>
      </c>
      <c r="J35" s="4" t="inlineStr">
        <is>
          <t>Mona Fahad</t>
        </is>
      </c>
    </row>
    <row r="36">
      <c r="A36" s="5" t="n">
        <v>46239</v>
      </c>
      <c r="B36" s="4" t="inlineStr">
        <is>
          <t>INV-025</t>
        </is>
      </c>
      <c r="C36" s="8">
        <f>IF($B36="","",IFERROR(INDEX('Items'!$B$3:$B$202,MATCH($B36,'Items'!$A$3:$A$202,0)),""))</f>
        <v/>
      </c>
      <c r="D36" s="4" t="inlineStr">
        <is>
          <t>L8249</t>
        </is>
      </c>
      <c r="E36" s="4" t="inlineStr">
        <is>
          <t>Out</t>
        </is>
      </c>
      <c r="F36" s="6" t="n">
        <v>2</v>
      </c>
      <c r="G36" s="4" t="inlineStr">
        <is>
          <t>Main branch</t>
        </is>
      </c>
      <c r="H36" s="4" t="n"/>
      <c r="I36" s="4" t="inlineStr">
        <is>
          <t>Issued to clinic rooms</t>
        </is>
      </c>
      <c r="J36" s="4" t="inlineStr">
        <is>
          <t>Mona Fahad</t>
        </is>
      </c>
    </row>
    <row r="37">
      <c r="A37" s="5" t="n">
        <v>46239</v>
      </c>
      <c r="B37" s="4" t="inlineStr">
        <is>
          <t>INV-028</t>
        </is>
      </c>
      <c r="C37" s="8">
        <f>IF($B37="","",IFERROR(INDEX('Items'!$B$3:$B$202,MATCH($B37,'Items'!$A$3:$A$202,0)),""))</f>
        <v/>
      </c>
      <c r="D37" s="4" t="inlineStr">
        <is>
          <t>L8669</t>
        </is>
      </c>
      <c r="E37" s="4" t="inlineStr">
        <is>
          <t>Out</t>
        </is>
      </c>
      <c r="F37" s="6" t="n">
        <v>1</v>
      </c>
      <c r="G37" s="4" t="inlineStr">
        <is>
          <t>Main branch</t>
        </is>
      </c>
      <c r="H37" s="4" t="n"/>
      <c r="I37" s="4" t="inlineStr">
        <is>
          <t>Issued to clinic rooms</t>
        </is>
      </c>
      <c r="J37" s="4" t="inlineStr">
        <is>
          <t>Fatima Saad</t>
        </is>
      </c>
    </row>
    <row r="38">
      <c r="A38" s="5" t="n">
        <v>46239</v>
      </c>
      <c r="B38" s="4" t="inlineStr">
        <is>
          <t>INV-037</t>
        </is>
      </c>
      <c r="C38" s="8">
        <f>IF($B38="","",IFERROR(INDEX('Items'!$B$3:$B$202,MATCH($B38,'Items'!$A$3:$A$202,0)),""))</f>
        <v/>
      </c>
      <c r="D38" s="4" t="inlineStr">
        <is>
          <t>L9534</t>
        </is>
      </c>
      <c r="E38" s="4" t="inlineStr">
        <is>
          <t>Out</t>
        </is>
      </c>
      <c r="F38" s="6" t="n">
        <v>4</v>
      </c>
      <c r="G38" s="4" t="inlineStr">
        <is>
          <t>Main branch</t>
        </is>
      </c>
      <c r="H38" s="4" t="n"/>
      <c r="I38" s="4" t="inlineStr">
        <is>
          <t>Issued to clinic rooms</t>
        </is>
      </c>
      <c r="J38" s="4" t="inlineStr">
        <is>
          <t>Omar Hassan</t>
        </is>
      </c>
    </row>
    <row r="39">
      <c r="A39" s="5" t="n">
        <v>46239</v>
      </c>
      <c r="B39" s="4" t="inlineStr">
        <is>
          <t>INV-045</t>
        </is>
      </c>
      <c r="C39" s="8">
        <f>IF($B39="","",IFERROR(INDEX('Items'!$B$3:$B$202,MATCH($B39,'Items'!$A$3:$A$202,0)),""))</f>
        <v/>
      </c>
      <c r="D39" s="4" t="inlineStr">
        <is>
          <t>L10566</t>
        </is>
      </c>
      <c r="E39" s="4" t="inlineStr">
        <is>
          <t>Out</t>
        </is>
      </c>
      <c r="F39" s="6" t="n">
        <v>2</v>
      </c>
      <c r="G39" s="4" t="inlineStr">
        <is>
          <t>Main branch</t>
        </is>
      </c>
      <c r="H39" s="4" t="n"/>
      <c r="I39" s="4" t="inlineStr">
        <is>
          <t>Issued to clinic rooms</t>
        </is>
      </c>
      <c r="J39" s="4" t="inlineStr">
        <is>
          <t>Reem Abdullah</t>
        </is>
      </c>
    </row>
    <row r="40">
      <c r="A40" s="5" t="n">
        <v>46240</v>
      </c>
      <c r="B40" s="4" t="inlineStr">
        <is>
          <t>INV-002</t>
        </is>
      </c>
      <c r="C40" s="8">
        <f>IF($B40="","",IFERROR(INDEX('Items'!$B$3:$B$202,MATCH($B40,'Items'!$A$3:$A$202,0)),""))</f>
        <v/>
      </c>
      <c r="D40" s="4" t="inlineStr">
        <is>
          <t>L5159</t>
        </is>
      </c>
      <c r="E40" s="4" t="inlineStr">
        <is>
          <t>Out</t>
        </is>
      </c>
      <c r="F40" s="6" t="n">
        <v>3</v>
      </c>
      <c r="G40" s="4" t="inlineStr">
        <is>
          <t>Main branch</t>
        </is>
      </c>
      <c r="H40" s="4" t="n"/>
      <c r="I40" s="4" t="inlineStr">
        <is>
          <t>Issued to clinic rooms</t>
        </is>
      </c>
      <c r="J40" s="4" t="inlineStr">
        <is>
          <t>Fatima Saad</t>
        </is>
      </c>
    </row>
    <row r="41">
      <c r="A41" s="5" t="n">
        <v>46240</v>
      </c>
      <c r="B41" s="4" t="inlineStr">
        <is>
          <t>INV-003</t>
        </is>
      </c>
      <c r="C41" s="8">
        <f>IF($B41="","",IFERROR(INDEX('Items'!$B$3:$B$202,MATCH($B41,'Items'!$A$3:$A$202,0)),""))</f>
        <v/>
      </c>
      <c r="D41" s="4" t="inlineStr">
        <is>
          <t>L5358</t>
        </is>
      </c>
      <c r="E41" s="4" t="inlineStr">
        <is>
          <t>Out</t>
        </is>
      </c>
      <c r="F41" s="6" t="n">
        <v>4</v>
      </c>
      <c r="G41" s="4" t="inlineStr">
        <is>
          <t>Main branch</t>
        </is>
      </c>
      <c r="H41" s="4" t="n"/>
      <c r="I41" s="4" t="inlineStr">
        <is>
          <t>Issued to clinic rooms</t>
        </is>
      </c>
      <c r="J41" s="4" t="inlineStr">
        <is>
          <t>Fatima Saad</t>
        </is>
      </c>
    </row>
    <row r="42">
      <c r="A42" s="5" t="n">
        <v>46240</v>
      </c>
      <c r="B42" s="4" t="inlineStr">
        <is>
          <t>INV-004</t>
        </is>
      </c>
      <c r="C42" s="8">
        <f>IF($B42="","",IFERROR(INDEX('Items'!$B$3:$B$202,MATCH($B42,'Items'!$A$3:$A$202,0)),""))</f>
        <v/>
      </c>
      <c r="D42" s="4" t="inlineStr">
        <is>
          <t>L5527</t>
        </is>
      </c>
      <c r="E42" s="4" t="inlineStr">
        <is>
          <t>Out</t>
        </is>
      </c>
      <c r="F42" s="6" t="n">
        <v>7</v>
      </c>
      <c r="G42" s="4" t="inlineStr">
        <is>
          <t>Main branch</t>
        </is>
      </c>
      <c r="H42" s="4" t="n"/>
      <c r="I42" s="4" t="inlineStr">
        <is>
          <t>Issued to clinic rooms</t>
        </is>
      </c>
      <c r="J42" s="4" t="inlineStr">
        <is>
          <t>Mona Fahad</t>
        </is>
      </c>
    </row>
    <row r="43">
      <c r="A43" s="5" t="n">
        <v>46240</v>
      </c>
      <c r="B43" s="4" t="inlineStr">
        <is>
          <t>INV-006</t>
        </is>
      </c>
      <c r="C43" s="8">
        <f>IF($B43="","",IFERROR(INDEX('Items'!$B$3:$B$202,MATCH($B43,'Items'!$A$3:$A$202,0)),""))</f>
        <v/>
      </c>
      <c r="D43" s="4" t="inlineStr">
        <is>
          <t>L5837</t>
        </is>
      </c>
      <c r="E43" s="4" t="inlineStr">
        <is>
          <t>Out</t>
        </is>
      </c>
      <c r="F43" s="6" t="n">
        <v>2</v>
      </c>
      <c r="G43" s="4" t="inlineStr">
        <is>
          <t>Main branch</t>
        </is>
      </c>
      <c r="H43" s="4" t="n"/>
      <c r="I43" s="4" t="inlineStr">
        <is>
          <t>Issued to clinic rooms</t>
        </is>
      </c>
      <c r="J43" s="4" t="inlineStr">
        <is>
          <t>Fatima Saad</t>
        </is>
      </c>
    </row>
    <row r="44">
      <c r="A44" s="5" t="n">
        <v>46240</v>
      </c>
      <c r="B44" s="4" t="inlineStr">
        <is>
          <t>INV-011</t>
        </is>
      </c>
      <c r="C44" s="8">
        <f>IF($B44="","",IFERROR(INDEX('Items'!$B$3:$B$202,MATCH($B44,'Items'!$A$3:$A$202,0)),""))</f>
        <v/>
      </c>
      <c r="D44" s="4" t="inlineStr">
        <is>
          <t>L6360</t>
        </is>
      </c>
      <c r="E44" s="4" t="inlineStr">
        <is>
          <t>Out</t>
        </is>
      </c>
      <c r="F44" s="6" t="n">
        <v>5</v>
      </c>
      <c r="G44" s="4" t="inlineStr">
        <is>
          <t>Main branch</t>
        </is>
      </c>
      <c r="H44" s="4" t="n"/>
      <c r="I44" s="4" t="inlineStr">
        <is>
          <t>Issued to clinic rooms</t>
        </is>
      </c>
      <c r="J44" s="4" t="inlineStr">
        <is>
          <t>Fatima Saad</t>
        </is>
      </c>
    </row>
    <row r="45">
      <c r="A45" s="5" t="n">
        <v>46240</v>
      </c>
      <c r="B45" s="4" t="inlineStr">
        <is>
          <t>INV-016</t>
        </is>
      </c>
      <c r="C45" s="8">
        <f>IF($B45="","",IFERROR(INDEX('Items'!$B$3:$B$202,MATCH($B45,'Items'!$A$3:$A$202,0)),""))</f>
        <v/>
      </c>
      <c r="D45" s="4" t="inlineStr">
        <is>
          <t>L6910</t>
        </is>
      </c>
      <c r="E45" s="4" t="inlineStr">
        <is>
          <t>Out</t>
        </is>
      </c>
      <c r="F45" s="6" t="n">
        <v>2</v>
      </c>
      <c r="G45" s="4" t="inlineStr">
        <is>
          <t>Main branch</t>
        </is>
      </c>
      <c r="H45" s="4" t="n"/>
      <c r="I45" s="4" t="inlineStr">
        <is>
          <t>Issued to clinic rooms</t>
        </is>
      </c>
      <c r="J45" s="4" t="inlineStr">
        <is>
          <t>Mona Fahad</t>
        </is>
      </c>
    </row>
    <row r="46">
      <c r="A46" s="5" t="n">
        <v>46240</v>
      </c>
      <c r="B46" s="4" t="inlineStr">
        <is>
          <t>INV-023</t>
        </is>
      </c>
      <c r="C46" s="8">
        <f>IF($B46="","",IFERROR(INDEX('Items'!$B$3:$B$202,MATCH($B46,'Items'!$A$3:$A$202,0)),""))</f>
        <v/>
      </c>
      <c r="D46" s="4" t="inlineStr">
        <is>
          <t>L7921</t>
        </is>
      </c>
      <c r="E46" s="4" t="inlineStr">
        <is>
          <t>Out</t>
        </is>
      </c>
      <c r="F46" s="6" t="n">
        <v>5</v>
      </c>
      <c r="G46" s="4" t="inlineStr">
        <is>
          <t>Main branch</t>
        </is>
      </c>
      <c r="H46" s="4" t="n"/>
      <c r="I46" s="4" t="inlineStr">
        <is>
          <t>Issued to clinic rooms</t>
        </is>
      </c>
      <c r="J46" s="4" t="inlineStr">
        <is>
          <t>Fatima Saad</t>
        </is>
      </c>
    </row>
    <row r="47">
      <c r="A47" s="5" t="n">
        <v>46240</v>
      </c>
      <c r="B47" s="4" t="inlineStr">
        <is>
          <t>INV-029</t>
        </is>
      </c>
      <c r="C47" s="8">
        <f>IF($B47="","",IFERROR(INDEX('Items'!$B$3:$B$202,MATCH($B47,'Items'!$A$3:$A$202,0)),""))</f>
        <v/>
      </c>
      <c r="D47" s="4" t="inlineStr">
        <is>
          <t>L8713</t>
        </is>
      </c>
      <c r="E47" s="4" t="inlineStr">
        <is>
          <t>Out</t>
        </is>
      </c>
      <c r="F47" s="6" t="n">
        <v>2</v>
      </c>
      <c r="G47" s="4" t="inlineStr">
        <is>
          <t>Main branch</t>
        </is>
      </c>
      <c r="H47" s="4" t="n"/>
      <c r="I47" s="4" t="inlineStr">
        <is>
          <t>Issued to clinic rooms</t>
        </is>
      </c>
      <c r="J47" s="4" t="inlineStr">
        <is>
          <t>Mona Fahad</t>
        </is>
      </c>
    </row>
    <row r="48">
      <c r="A48" s="5" t="n">
        <v>46240</v>
      </c>
      <c r="B48" s="4" t="inlineStr">
        <is>
          <t>INV-040</t>
        </is>
      </c>
      <c r="C48" s="8">
        <f>IF($B48="","",IFERROR(INDEX('Items'!$B$3:$B$202,MATCH($B48,'Items'!$A$3:$A$202,0)),""))</f>
        <v/>
      </c>
      <c r="D48" s="4" t="inlineStr">
        <is>
          <t>L9915</t>
        </is>
      </c>
      <c r="E48" s="4" t="inlineStr">
        <is>
          <t>Out</t>
        </is>
      </c>
      <c r="F48" s="6" t="n">
        <v>1</v>
      </c>
      <c r="G48" s="4" t="inlineStr">
        <is>
          <t>Main branch</t>
        </is>
      </c>
      <c r="H48" s="4" t="n"/>
      <c r="I48" s="4" t="inlineStr">
        <is>
          <t>Issued to clinic rooms</t>
        </is>
      </c>
      <c r="J48" s="4" t="inlineStr">
        <is>
          <t>Reem Abdullah</t>
        </is>
      </c>
    </row>
    <row r="49">
      <c r="A49" s="5" t="n">
        <v>46243</v>
      </c>
      <c r="B49" s="4" t="inlineStr">
        <is>
          <t>INV-008</t>
        </is>
      </c>
      <c r="C49" s="8">
        <f>IF($B49="","",IFERROR(INDEX('Items'!$B$3:$B$202,MATCH($B49,'Items'!$A$3:$A$202,0)),""))</f>
        <v/>
      </c>
      <c r="D49" s="4" t="inlineStr">
        <is>
          <t>L6096</t>
        </is>
      </c>
      <c r="E49" s="4" t="inlineStr">
        <is>
          <t>Out</t>
        </is>
      </c>
      <c r="F49" s="6" t="n">
        <v>2</v>
      </c>
      <c r="G49" s="4" t="inlineStr">
        <is>
          <t>Main branch</t>
        </is>
      </c>
      <c r="H49" s="4" t="n"/>
      <c r="I49" s="4" t="inlineStr">
        <is>
          <t>Issued to clinic rooms</t>
        </is>
      </c>
      <c r="J49" s="4" t="inlineStr">
        <is>
          <t>Mona Fahad</t>
        </is>
      </c>
    </row>
    <row r="50">
      <c r="A50" s="5" t="n">
        <v>46243</v>
      </c>
      <c r="B50" s="4" t="inlineStr">
        <is>
          <t>INV-011</t>
        </is>
      </c>
      <c r="C50" s="8">
        <f>IF($B50="","",IFERROR(INDEX('Items'!$B$3:$B$202,MATCH($B50,'Items'!$A$3:$A$202,0)),""))</f>
        <v/>
      </c>
      <c r="D50" s="4" t="inlineStr">
        <is>
          <t>L6360</t>
        </is>
      </c>
      <c r="E50" s="4" t="inlineStr">
        <is>
          <t>Out</t>
        </is>
      </c>
      <c r="F50" s="6" t="n">
        <v>3</v>
      </c>
      <c r="G50" s="4" t="inlineStr">
        <is>
          <t>Main branch</t>
        </is>
      </c>
      <c r="H50" s="4" t="n"/>
      <c r="I50" s="4" t="inlineStr">
        <is>
          <t>Issued to clinic rooms</t>
        </is>
      </c>
      <c r="J50" s="4" t="inlineStr">
        <is>
          <t>Mona Fahad</t>
        </is>
      </c>
    </row>
    <row r="51">
      <c r="A51" s="5" t="n">
        <v>46243</v>
      </c>
      <c r="B51" s="4" t="inlineStr">
        <is>
          <t>INV-012</t>
        </is>
      </c>
      <c r="C51" s="8">
        <f>IF($B51="","",IFERROR(INDEX('Items'!$B$3:$B$202,MATCH($B51,'Items'!$A$3:$A$202,0)),""))</f>
        <v/>
      </c>
      <c r="D51" s="4" t="inlineStr">
        <is>
          <t>L6488</t>
        </is>
      </c>
      <c r="E51" s="4" t="inlineStr">
        <is>
          <t>Out</t>
        </is>
      </c>
      <c r="F51" s="6" t="n">
        <v>5</v>
      </c>
      <c r="G51" s="4" t="inlineStr">
        <is>
          <t>Main branch</t>
        </is>
      </c>
      <c r="H51" s="4" t="n"/>
      <c r="I51" s="4" t="inlineStr">
        <is>
          <t>Issued to clinic rooms</t>
        </is>
      </c>
      <c r="J51" s="4" t="inlineStr">
        <is>
          <t>Mona Fahad</t>
        </is>
      </c>
    </row>
    <row r="52">
      <c r="A52" s="5" t="n">
        <v>46243</v>
      </c>
      <c r="B52" s="4" t="inlineStr">
        <is>
          <t>INV-013</t>
        </is>
      </c>
      <c r="C52" s="8">
        <f>IF($B52="","",IFERROR(INDEX('Items'!$B$3:$B$202,MATCH($B52,'Items'!$A$3:$A$202,0)),""))</f>
        <v/>
      </c>
      <c r="D52" s="4" t="inlineStr">
        <is>
          <t>L6671</t>
        </is>
      </c>
      <c r="E52" s="4" t="inlineStr">
        <is>
          <t>Out</t>
        </is>
      </c>
      <c r="F52" s="6" t="n">
        <v>4</v>
      </c>
      <c r="G52" s="4" t="inlineStr">
        <is>
          <t>Main branch</t>
        </is>
      </c>
      <c r="H52" s="4" t="n"/>
      <c r="I52" s="4" t="inlineStr">
        <is>
          <t>Issued to clinic rooms</t>
        </is>
      </c>
      <c r="J52" s="4" t="inlineStr">
        <is>
          <t>Fatima Saad</t>
        </is>
      </c>
    </row>
    <row r="53">
      <c r="A53" s="5" t="n">
        <v>46243</v>
      </c>
      <c r="B53" s="4" t="inlineStr">
        <is>
          <t>INV-017</t>
        </is>
      </c>
      <c r="C53" s="8">
        <f>IF($B53="","",IFERROR(INDEX('Items'!$B$3:$B$202,MATCH($B53,'Items'!$A$3:$A$202,0)),""))</f>
        <v/>
      </c>
      <c r="D53" s="4" t="inlineStr">
        <is>
          <t>L7018</t>
        </is>
      </c>
      <c r="E53" s="4" t="inlineStr">
        <is>
          <t>Out</t>
        </is>
      </c>
      <c r="F53" s="6" t="n">
        <v>7</v>
      </c>
      <c r="G53" s="4" t="inlineStr">
        <is>
          <t>Main branch</t>
        </is>
      </c>
      <c r="H53" s="4" t="n"/>
      <c r="I53" s="4" t="inlineStr">
        <is>
          <t>Issued to clinic rooms</t>
        </is>
      </c>
      <c r="J53" s="4" t="inlineStr">
        <is>
          <t>Fatima Saad</t>
        </is>
      </c>
    </row>
    <row r="54">
      <c r="A54" s="5" t="n">
        <v>46243</v>
      </c>
      <c r="B54" s="4" t="inlineStr">
        <is>
          <t>INV-019</t>
        </is>
      </c>
      <c r="C54" s="8">
        <f>IF($B54="","",IFERROR(INDEX('Items'!$B$3:$B$202,MATCH($B54,'Items'!$A$3:$A$202,0)),""))</f>
        <v/>
      </c>
      <c r="D54" s="4" t="inlineStr">
        <is>
          <t>L7281</t>
        </is>
      </c>
      <c r="E54" s="4" t="inlineStr">
        <is>
          <t>Out</t>
        </is>
      </c>
      <c r="F54" s="6" t="n">
        <v>3</v>
      </c>
      <c r="G54" s="4" t="inlineStr">
        <is>
          <t>Main branch</t>
        </is>
      </c>
      <c r="H54" s="4" t="n"/>
      <c r="I54" s="4" t="inlineStr">
        <is>
          <t>Issued to clinic rooms</t>
        </is>
      </c>
      <c r="J54" s="4" t="inlineStr">
        <is>
          <t>Fatima Saad</t>
        </is>
      </c>
    </row>
    <row r="55">
      <c r="A55" s="5" t="n">
        <v>46243</v>
      </c>
      <c r="B55" s="4" t="inlineStr">
        <is>
          <t>INV-024</t>
        </is>
      </c>
      <c r="C55" s="8">
        <f>IF($B55="","",IFERROR(INDEX('Items'!$B$3:$B$202,MATCH($B55,'Items'!$A$3:$A$202,0)),""))</f>
        <v/>
      </c>
      <c r="D55" s="4" t="inlineStr">
        <is>
          <t>L8110</t>
        </is>
      </c>
      <c r="E55" s="4" t="inlineStr">
        <is>
          <t>Out</t>
        </is>
      </c>
      <c r="F55" s="6" t="n">
        <v>2</v>
      </c>
      <c r="G55" s="4" t="inlineStr">
        <is>
          <t>Main branch</t>
        </is>
      </c>
      <c r="H55" s="4" t="n"/>
      <c r="I55" s="4" t="inlineStr">
        <is>
          <t>Issued to clinic rooms</t>
        </is>
      </c>
      <c r="J55" s="4" t="inlineStr">
        <is>
          <t>Mona Fahad</t>
        </is>
      </c>
    </row>
    <row r="56">
      <c r="A56" s="5" t="n">
        <v>46243</v>
      </c>
      <c r="B56" s="4" t="inlineStr">
        <is>
          <t>INV-025</t>
        </is>
      </c>
      <c r="C56" s="8">
        <f>IF($B56="","",IFERROR(INDEX('Items'!$B$3:$B$202,MATCH($B56,'Items'!$A$3:$A$202,0)),""))</f>
        <v/>
      </c>
      <c r="D56" s="4" t="inlineStr">
        <is>
          <t>L8249</t>
        </is>
      </c>
      <c r="E56" s="4" t="inlineStr">
        <is>
          <t>Out</t>
        </is>
      </c>
      <c r="F56" s="6" t="n">
        <v>2</v>
      </c>
      <c r="G56" s="4" t="inlineStr">
        <is>
          <t>Main branch</t>
        </is>
      </c>
      <c r="H56" s="4" t="n"/>
      <c r="I56" s="4" t="inlineStr">
        <is>
          <t>Issued to clinic rooms</t>
        </is>
      </c>
      <c r="J56" s="4" t="inlineStr">
        <is>
          <t>Mona Fahad</t>
        </is>
      </c>
    </row>
    <row r="57">
      <c r="A57" s="5" t="n">
        <v>46243</v>
      </c>
      <c r="B57" s="4" t="inlineStr">
        <is>
          <t>INV-026</t>
        </is>
      </c>
      <c r="C57" s="8">
        <f>IF($B57="","",IFERROR(INDEX('Items'!$B$3:$B$202,MATCH($B57,'Items'!$A$3:$A$202,0)),""))</f>
        <v/>
      </c>
      <c r="D57" s="4" t="inlineStr">
        <is>
          <t>L8406</t>
        </is>
      </c>
      <c r="E57" s="4" t="inlineStr">
        <is>
          <t>Out</t>
        </is>
      </c>
      <c r="F57" s="6" t="n">
        <v>2</v>
      </c>
      <c r="G57" s="4" t="inlineStr">
        <is>
          <t>Main branch</t>
        </is>
      </c>
      <c r="H57" s="4" t="n"/>
      <c r="I57" s="4" t="inlineStr">
        <is>
          <t>Issued to clinic rooms</t>
        </is>
      </c>
      <c r="J57" s="4" t="inlineStr">
        <is>
          <t>Mona Fahad</t>
        </is>
      </c>
    </row>
    <row r="58">
      <c r="A58" s="5" t="n">
        <v>46243</v>
      </c>
      <c r="B58" s="4" t="inlineStr">
        <is>
          <t>INV-034</t>
        </is>
      </c>
      <c r="C58" s="8">
        <f>IF($B58="","",IFERROR(INDEX('Items'!$B$3:$B$202,MATCH($B58,'Items'!$A$3:$A$202,0)),""))</f>
        <v/>
      </c>
      <c r="D58" s="4" t="inlineStr">
        <is>
          <t>L9240</t>
        </is>
      </c>
      <c r="E58" s="4" t="inlineStr">
        <is>
          <t>Out</t>
        </is>
      </c>
      <c r="F58" s="6" t="n">
        <v>1</v>
      </c>
      <c r="G58" s="4" t="inlineStr">
        <is>
          <t>Main branch</t>
        </is>
      </c>
      <c r="H58" s="4" t="n"/>
      <c r="I58" s="4" t="inlineStr">
        <is>
          <t>Issued to clinic rooms</t>
        </is>
      </c>
      <c r="J58" s="4" t="inlineStr">
        <is>
          <t>Reem Abdullah</t>
        </is>
      </c>
    </row>
    <row r="59">
      <c r="A59" s="5" t="n">
        <v>46243</v>
      </c>
      <c r="B59" s="4" t="inlineStr">
        <is>
          <t>INV-037</t>
        </is>
      </c>
      <c r="C59" s="8">
        <f>IF($B59="","",IFERROR(INDEX('Items'!$B$3:$B$202,MATCH($B59,'Items'!$A$3:$A$202,0)),""))</f>
        <v/>
      </c>
      <c r="D59" s="4" t="inlineStr">
        <is>
          <t>L9534</t>
        </is>
      </c>
      <c r="E59" s="4" t="inlineStr">
        <is>
          <t>Out</t>
        </is>
      </c>
      <c r="F59" s="6" t="n">
        <v>3</v>
      </c>
      <c r="G59" s="4" t="inlineStr">
        <is>
          <t>Main branch</t>
        </is>
      </c>
      <c r="H59" s="4" t="n"/>
      <c r="I59" s="4" t="inlineStr">
        <is>
          <t>Issued to clinic rooms</t>
        </is>
      </c>
      <c r="J59" s="4" t="inlineStr">
        <is>
          <t>Omar Hassan</t>
        </is>
      </c>
    </row>
    <row r="60">
      <c r="A60" s="5" t="n">
        <v>46243</v>
      </c>
      <c r="B60" s="4" t="inlineStr">
        <is>
          <t>INV-045</t>
        </is>
      </c>
      <c r="C60" s="8">
        <f>IF($B60="","",IFERROR(INDEX('Items'!$B$3:$B$202,MATCH($B60,'Items'!$A$3:$A$202,0)),""))</f>
        <v/>
      </c>
      <c r="D60" s="4" t="inlineStr">
        <is>
          <t>L10566</t>
        </is>
      </c>
      <c r="E60" s="4" t="inlineStr">
        <is>
          <t>Out</t>
        </is>
      </c>
      <c r="F60" s="6" t="n">
        <v>2</v>
      </c>
      <c r="G60" s="4" t="inlineStr">
        <is>
          <t>Main branch</t>
        </is>
      </c>
      <c r="H60" s="4" t="n"/>
      <c r="I60" s="4" t="inlineStr">
        <is>
          <t>Issued to clinic rooms</t>
        </is>
      </c>
      <c r="J60" s="4" t="inlineStr">
        <is>
          <t>Omar Hassan</t>
        </is>
      </c>
    </row>
    <row r="61">
      <c r="A61" s="5" t="n">
        <v>46244</v>
      </c>
      <c r="B61" s="4" t="inlineStr">
        <is>
          <t>INV-003</t>
        </is>
      </c>
      <c r="C61" s="8">
        <f>IF($B61="","",IFERROR(INDEX('Items'!$B$3:$B$202,MATCH($B61,'Items'!$A$3:$A$202,0)),""))</f>
        <v/>
      </c>
      <c r="D61" s="4" t="inlineStr">
        <is>
          <t>L10818</t>
        </is>
      </c>
      <c r="E61" s="4" t="inlineStr">
        <is>
          <t>Out</t>
        </is>
      </c>
      <c r="F61" s="6" t="n">
        <v>3</v>
      </c>
      <c r="G61" s="4" t="inlineStr">
        <is>
          <t>North branch</t>
        </is>
      </c>
      <c r="H61" s="4" t="n"/>
      <c r="I61" s="4" t="inlineStr">
        <is>
          <t>Issued to clinic rooms</t>
        </is>
      </c>
      <c r="J61" s="4" t="inlineStr">
        <is>
          <t>Yasmin Ali</t>
        </is>
      </c>
    </row>
    <row r="62">
      <c r="A62" s="5" t="n">
        <v>46244</v>
      </c>
      <c r="B62" s="4" t="inlineStr">
        <is>
          <t>INV-004</t>
        </is>
      </c>
      <c r="C62" s="8">
        <f>IF($B62="","",IFERROR(INDEX('Items'!$B$3:$B$202,MATCH($B62,'Items'!$A$3:$A$202,0)),""))</f>
        <v/>
      </c>
      <c r="D62" s="4" t="inlineStr">
        <is>
          <t>L5527</t>
        </is>
      </c>
      <c r="E62" s="4" t="inlineStr">
        <is>
          <t>Out</t>
        </is>
      </c>
      <c r="F62" s="6" t="n">
        <v>5</v>
      </c>
      <c r="G62" s="4" t="inlineStr">
        <is>
          <t>Main branch</t>
        </is>
      </c>
      <c r="H62" s="4" t="n"/>
      <c r="I62" s="4" t="inlineStr">
        <is>
          <t>Issued to clinic rooms</t>
        </is>
      </c>
      <c r="J62" s="4" t="inlineStr">
        <is>
          <t>Fatima Saad</t>
        </is>
      </c>
    </row>
    <row r="63">
      <c r="A63" s="5" t="n">
        <v>46244</v>
      </c>
      <c r="B63" s="4" t="inlineStr">
        <is>
          <t>INV-010</t>
        </is>
      </c>
      <c r="C63" s="8">
        <f>IF($B63="","",IFERROR(INDEX('Items'!$B$3:$B$202,MATCH($B63,'Items'!$A$3:$A$202,0)),""))</f>
        <v/>
      </c>
      <c r="D63" s="4" t="inlineStr">
        <is>
          <t>L6307</t>
        </is>
      </c>
      <c r="E63" s="4" t="inlineStr">
        <is>
          <t>Out</t>
        </is>
      </c>
      <c r="F63" s="6" t="n">
        <v>1</v>
      </c>
      <c r="G63" s="4" t="inlineStr">
        <is>
          <t>Main branch</t>
        </is>
      </c>
      <c r="H63" s="4" t="n"/>
      <c r="I63" s="4" t="inlineStr">
        <is>
          <t>Issued to clinic rooms</t>
        </is>
      </c>
      <c r="J63" s="4" t="inlineStr">
        <is>
          <t>Mona Fahad</t>
        </is>
      </c>
    </row>
    <row r="64">
      <c r="A64" s="5" t="n">
        <v>46244</v>
      </c>
      <c r="B64" s="4" t="inlineStr">
        <is>
          <t>INV-014</t>
        </is>
      </c>
      <c r="C64" s="8">
        <f>IF($B64="","",IFERROR(INDEX('Items'!$B$3:$B$202,MATCH($B64,'Items'!$A$3:$A$202,0)),""))</f>
        <v/>
      </c>
      <c r="D64" s="4" t="inlineStr">
        <is>
          <t>L6750</t>
        </is>
      </c>
      <c r="E64" s="4" t="inlineStr">
        <is>
          <t>Out</t>
        </is>
      </c>
      <c r="F64" s="6" t="n">
        <v>2</v>
      </c>
      <c r="G64" s="4" t="inlineStr">
        <is>
          <t>Main branch</t>
        </is>
      </c>
      <c r="H64" s="4" t="n"/>
      <c r="I64" s="4" t="inlineStr">
        <is>
          <t>Issued to clinic rooms</t>
        </is>
      </c>
      <c r="J64" s="4" t="inlineStr">
        <is>
          <t>Fatima Saad</t>
        </is>
      </c>
    </row>
    <row r="65">
      <c r="A65" s="5" t="n">
        <v>46244</v>
      </c>
      <c r="B65" s="4" t="inlineStr">
        <is>
          <t>INV-016</t>
        </is>
      </c>
      <c r="C65" s="8">
        <f>IF($B65="","",IFERROR(INDEX('Items'!$B$3:$B$202,MATCH($B65,'Items'!$A$3:$A$202,0)),""))</f>
        <v/>
      </c>
      <c r="D65" s="4" t="inlineStr">
        <is>
          <t>L6910</t>
        </is>
      </c>
      <c r="E65" s="4" t="inlineStr">
        <is>
          <t>Out</t>
        </is>
      </c>
      <c r="F65" s="6" t="n">
        <v>2</v>
      </c>
      <c r="G65" s="4" t="inlineStr">
        <is>
          <t>Main branch</t>
        </is>
      </c>
      <c r="H65" s="4" t="n"/>
      <c r="I65" s="4" t="inlineStr">
        <is>
          <t>Issued to clinic rooms</t>
        </is>
      </c>
      <c r="J65" s="4" t="inlineStr">
        <is>
          <t>Fatima Saad</t>
        </is>
      </c>
    </row>
    <row r="66">
      <c r="A66" s="5" t="n">
        <v>46244</v>
      </c>
      <c r="B66" s="4" t="inlineStr">
        <is>
          <t>INV-021</t>
        </is>
      </c>
      <c r="C66" s="8">
        <f>IF($B66="","",IFERROR(INDEX('Items'!$B$3:$B$202,MATCH($B66,'Items'!$A$3:$A$202,0)),""))</f>
        <v/>
      </c>
      <c r="D66" s="4" t="inlineStr">
        <is>
          <t>L7591</t>
        </is>
      </c>
      <c r="E66" s="4" t="inlineStr">
        <is>
          <t>Out</t>
        </is>
      </c>
      <c r="F66" s="6" t="n">
        <v>2</v>
      </c>
      <c r="G66" s="4" t="inlineStr">
        <is>
          <t>Main branch</t>
        </is>
      </c>
      <c r="H66" s="4" t="n"/>
      <c r="I66" s="4" t="inlineStr">
        <is>
          <t>Issued to clinic rooms</t>
        </is>
      </c>
      <c r="J66" s="4" t="inlineStr">
        <is>
          <t>Mona Fahad</t>
        </is>
      </c>
    </row>
    <row r="67">
      <c r="A67" s="5" t="n">
        <v>46244</v>
      </c>
      <c r="B67" s="4" t="inlineStr">
        <is>
          <t>INV-023</t>
        </is>
      </c>
      <c r="C67" s="8">
        <f>IF($B67="","",IFERROR(INDEX('Items'!$B$3:$B$202,MATCH($B67,'Items'!$A$3:$A$202,0)),""))</f>
        <v/>
      </c>
      <c r="D67" s="4" t="inlineStr">
        <is>
          <t>L7921</t>
        </is>
      </c>
      <c r="E67" s="4" t="inlineStr">
        <is>
          <t>Out</t>
        </is>
      </c>
      <c r="F67" s="6" t="n">
        <v>4</v>
      </c>
      <c r="G67" s="4" t="inlineStr">
        <is>
          <t>Main branch</t>
        </is>
      </c>
      <c r="H67" s="4" t="n"/>
      <c r="I67" s="4" t="inlineStr">
        <is>
          <t>Issued to clinic rooms</t>
        </is>
      </c>
      <c r="J67" s="4" t="inlineStr">
        <is>
          <t>Mona Fahad</t>
        </is>
      </c>
    </row>
    <row r="68">
      <c r="A68" s="5" t="n">
        <v>46244</v>
      </c>
      <c r="B68" s="4" t="inlineStr">
        <is>
          <t>INV-041</t>
        </is>
      </c>
      <c r="C68" s="8">
        <f>IF($B68="","",IFERROR(INDEX('Items'!$B$3:$B$202,MATCH($B68,'Items'!$A$3:$A$202,0)),""))</f>
        <v/>
      </c>
      <c r="D68" s="4" t="inlineStr">
        <is>
          <t>L10095</t>
        </is>
      </c>
      <c r="E68" s="4" t="inlineStr">
        <is>
          <t>Out</t>
        </is>
      </c>
      <c r="F68" s="6" t="n">
        <v>1</v>
      </c>
      <c r="G68" s="4" t="inlineStr">
        <is>
          <t>Main branch</t>
        </is>
      </c>
      <c r="H68" s="4" t="n"/>
      <c r="I68" s="4" t="inlineStr">
        <is>
          <t>Issued to clinic rooms</t>
        </is>
      </c>
      <c r="J68" s="4" t="inlineStr">
        <is>
          <t>Reem Abdullah</t>
        </is>
      </c>
    </row>
    <row r="69">
      <c r="A69" s="5" t="n">
        <v>46245</v>
      </c>
      <c r="B69" s="4" t="inlineStr">
        <is>
          <t>INV-003</t>
        </is>
      </c>
      <c r="C69" s="8">
        <f>IF($B69="","",IFERROR(INDEX('Items'!$B$3:$B$202,MATCH($B69,'Items'!$A$3:$A$202,0)),""))</f>
        <v/>
      </c>
      <c r="D69" s="4" t="inlineStr">
        <is>
          <t>L5358</t>
        </is>
      </c>
      <c r="E69" s="4" t="inlineStr">
        <is>
          <t>Out</t>
        </is>
      </c>
      <c r="F69" s="6" t="n">
        <v>5</v>
      </c>
      <c r="G69" s="4" t="inlineStr">
        <is>
          <t>Main branch</t>
        </is>
      </c>
      <c r="H69" s="4" t="n"/>
      <c r="I69" s="4" t="inlineStr">
        <is>
          <t>Issued to clinic rooms</t>
        </is>
      </c>
      <c r="J69" s="4" t="inlineStr">
        <is>
          <t>Mona Fahad</t>
        </is>
      </c>
    </row>
    <row r="70">
      <c r="A70" s="5" t="n">
        <v>46245</v>
      </c>
      <c r="B70" s="4" t="inlineStr">
        <is>
          <t>INV-011</t>
        </is>
      </c>
      <c r="C70" s="8">
        <f>IF($B70="","",IFERROR(INDEX('Items'!$B$3:$B$202,MATCH($B70,'Items'!$A$3:$A$202,0)),""))</f>
        <v/>
      </c>
      <c r="D70" s="4" t="inlineStr">
        <is>
          <t>L11330</t>
        </is>
      </c>
      <c r="E70" s="4" t="inlineStr">
        <is>
          <t>Out</t>
        </is>
      </c>
      <c r="F70" s="6" t="n">
        <v>4</v>
      </c>
      <c r="G70" s="4" t="inlineStr">
        <is>
          <t>North branch</t>
        </is>
      </c>
      <c r="H70" s="4" t="n"/>
      <c r="I70" s="4" t="inlineStr">
        <is>
          <t>Issued to clinic rooms</t>
        </is>
      </c>
      <c r="J70" s="4" t="inlineStr">
        <is>
          <t>Yasmin Ali</t>
        </is>
      </c>
    </row>
    <row r="71">
      <c r="A71" s="5" t="n">
        <v>46245</v>
      </c>
      <c r="B71" s="4" t="inlineStr">
        <is>
          <t>INV-038</t>
        </is>
      </c>
      <c r="C71" s="8">
        <f>IF($B71="","",IFERROR(INDEX('Items'!$B$3:$B$202,MATCH($B71,'Items'!$A$3:$A$202,0)),""))</f>
        <v/>
      </c>
      <c r="D71" s="4" t="inlineStr">
        <is>
          <t>L9661</t>
        </is>
      </c>
      <c r="E71" s="4" t="inlineStr">
        <is>
          <t>Out</t>
        </is>
      </c>
      <c r="F71" s="6" t="n">
        <v>4</v>
      </c>
      <c r="G71" s="4" t="inlineStr">
        <is>
          <t>Main branch</t>
        </is>
      </c>
      <c r="H71" s="4" t="n"/>
      <c r="I71" s="4" t="inlineStr">
        <is>
          <t>Issued to clinic rooms</t>
        </is>
      </c>
      <c r="J71" s="4" t="inlineStr">
        <is>
          <t>Omar Hassan</t>
        </is>
      </c>
    </row>
    <row r="72">
      <c r="A72" s="5" t="n">
        <v>46246</v>
      </c>
      <c r="B72" s="4" t="inlineStr">
        <is>
          <t>INV-001</t>
        </is>
      </c>
      <c r="C72" s="8">
        <f>IF($B72="","",IFERROR(INDEX('Items'!$B$3:$B$202,MATCH($B72,'Items'!$A$3:$A$202,0)),""))</f>
        <v/>
      </c>
      <c r="D72" s="4" t="inlineStr">
        <is>
          <t>L5032</t>
        </is>
      </c>
      <c r="E72" s="4" t="inlineStr">
        <is>
          <t>Out</t>
        </is>
      </c>
      <c r="F72" s="6" t="n">
        <v>6</v>
      </c>
      <c r="G72" s="4" t="inlineStr">
        <is>
          <t>Main branch</t>
        </is>
      </c>
      <c r="H72" s="4" t="n"/>
      <c r="I72" s="4" t="inlineStr">
        <is>
          <t>Issued to clinic rooms</t>
        </is>
      </c>
      <c r="J72" s="4" t="inlineStr">
        <is>
          <t>Fatima Saad</t>
        </is>
      </c>
    </row>
    <row r="73">
      <c r="A73" s="5" t="n">
        <v>46246</v>
      </c>
      <c r="B73" s="4" t="inlineStr">
        <is>
          <t>INV-001</t>
        </is>
      </c>
      <c r="C73" s="8">
        <f>IF($B73="","",IFERROR(INDEX('Items'!$B$3:$B$202,MATCH($B73,'Items'!$A$3:$A$202,0)),""))</f>
        <v/>
      </c>
      <c r="D73" s="4" t="inlineStr">
        <is>
          <t>L10689</t>
        </is>
      </c>
      <c r="E73" s="4" t="inlineStr">
        <is>
          <t>Out</t>
        </is>
      </c>
      <c r="F73" s="6" t="n">
        <v>3</v>
      </c>
      <c r="G73" s="4" t="inlineStr">
        <is>
          <t>North branch</t>
        </is>
      </c>
      <c r="H73" s="4" t="n"/>
      <c r="I73" s="4" t="inlineStr">
        <is>
          <t>Issued to clinic rooms</t>
        </is>
      </c>
      <c r="J73" s="4" t="inlineStr">
        <is>
          <t>Yasmin Ali</t>
        </is>
      </c>
    </row>
    <row r="74">
      <c r="A74" s="5" t="n">
        <v>46246</v>
      </c>
      <c r="B74" s="4" t="inlineStr">
        <is>
          <t>INV-002</t>
        </is>
      </c>
      <c r="C74" s="8">
        <f>IF($B74="","",IFERROR(INDEX('Items'!$B$3:$B$202,MATCH($B74,'Items'!$A$3:$A$202,0)),""))</f>
        <v/>
      </c>
      <c r="D74" s="4" t="inlineStr">
        <is>
          <t>L5159</t>
        </is>
      </c>
      <c r="E74" s="4" t="inlineStr">
        <is>
          <t>Out</t>
        </is>
      </c>
      <c r="F74" s="6" t="n">
        <v>4</v>
      </c>
      <c r="G74" s="4" t="inlineStr">
        <is>
          <t>Main branch</t>
        </is>
      </c>
      <c r="H74" s="4" t="n"/>
      <c r="I74" s="4" t="inlineStr">
        <is>
          <t>Issued to clinic rooms</t>
        </is>
      </c>
      <c r="J74" s="4" t="inlineStr">
        <is>
          <t>Fatima Saad</t>
        </is>
      </c>
    </row>
    <row r="75">
      <c r="A75" s="5" t="n">
        <v>46246</v>
      </c>
      <c r="B75" s="4" t="inlineStr">
        <is>
          <t>INV-004</t>
        </is>
      </c>
      <c r="C75" s="8">
        <f>IF($B75="","",IFERROR(INDEX('Items'!$B$3:$B$202,MATCH($B75,'Items'!$A$3:$A$202,0)),""))</f>
        <v/>
      </c>
      <c r="D75" s="4" t="inlineStr">
        <is>
          <t>L11058</t>
        </is>
      </c>
      <c r="E75" s="4" t="inlineStr">
        <is>
          <t>Out</t>
        </is>
      </c>
      <c r="F75" s="6" t="n">
        <v>3</v>
      </c>
      <c r="G75" s="4" t="inlineStr">
        <is>
          <t>North branch</t>
        </is>
      </c>
      <c r="H75" s="4" t="n"/>
      <c r="I75" s="4" t="inlineStr">
        <is>
          <t>Issued to clinic rooms</t>
        </is>
      </c>
      <c r="J75" s="4" t="inlineStr">
        <is>
          <t>Yasmin Ali</t>
        </is>
      </c>
    </row>
    <row r="76">
      <c r="A76" s="5" t="n">
        <v>46246</v>
      </c>
      <c r="B76" s="4" t="inlineStr">
        <is>
          <t>INV-005</t>
        </is>
      </c>
      <c r="C76" s="8">
        <f>IF($B76="","",IFERROR(INDEX('Items'!$B$3:$B$202,MATCH($B76,'Items'!$A$3:$A$202,0)),""))</f>
        <v/>
      </c>
      <c r="D76" s="4" t="inlineStr">
        <is>
          <t>L5721</t>
        </is>
      </c>
      <c r="E76" s="4" t="inlineStr">
        <is>
          <t>Out</t>
        </is>
      </c>
      <c r="F76" s="6" t="n">
        <v>3</v>
      </c>
      <c r="G76" s="4" t="inlineStr">
        <is>
          <t>Main branch</t>
        </is>
      </c>
      <c r="H76" s="4" t="n"/>
      <c r="I76" s="4" t="inlineStr">
        <is>
          <t>Issued to clinic rooms</t>
        </is>
      </c>
      <c r="J76" s="4" t="inlineStr">
        <is>
          <t>Fatima Saad</t>
        </is>
      </c>
    </row>
    <row r="77">
      <c r="A77" s="5" t="n">
        <v>46246</v>
      </c>
      <c r="B77" s="4" t="inlineStr">
        <is>
          <t>INV-006</t>
        </is>
      </c>
      <c r="C77" s="8">
        <f>IF($B77="","",IFERROR(INDEX('Items'!$B$3:$B$202,MATCH($B77,'Items'!$A$3:$A$202,0)),""))</f>
        <v/>
      </c>
      <c r="D77" s="4" t="inlineStr">
        <is>
          <t>L5837</t>
        </is>
      </c>
      <c r="E77" s="4" t="inlineStr">
        <is>
          <t>Out</t>
        </is>
      </c>
      <c r="F77" s="6" t="n">
        <v>2</v>
      </c>
      <c r="G77" s="4" t="inlineStr">
        <is>
          <t>Main branch</t>
        </is>
      </c>
      <c r="H77" s="4" t="n"/>
      <c r="I77" s="4" t="inlineStr">
        <is>
          <t>Issued to clinic rooms</t>
        </is>
      </c>
      <c r="J77" s="4" t="inlineStr">
        <is>
          <t>Fatima Saad</t>
        </is>
      </c>
    </row>
    <row r="78">
      <c r="A78" s="5" t="n">
        <v>46246</v>
      </c>
      <c r="B78" s="4" t="inlineStr">
        <is>
          <t>INV-007</t>
        </is>
      </c>
      <c r="C78" s="8">
        <f>IF($B78="","",IFERROR(INDEX('Items'!$B$3:$B$202,MATCH($B78,'Items'!$A$3:$A$202,0)),""))</f>
        <v/>
      </c>
      <c r="D78" s="4" t="inlineStr">
        <is>
          <t>L5978</t>
        </is>
      </c>
      <c r="E78" s="4" t="inlineStr">
        <is>
          <t>Out</t>
        </is>
      </c>
      <c r="F78" s="6" t="n">
        <v>2</v>
      </c>
      <c r="G78" s="4" t="inlineStr">
        <is>
          <t>Main branch</t>
        </is>
      </c>
      <c r="H78" s="4" t="n"/>
      <c r="I78" s="4" t="inlineStr">
        <is>
          <t>Issued to clinic rooms</t>
        </is>
      </c>
      <c r="J78" s="4" t="inlineStr">
        <is>
          <t>Mona Fahad</t>
        </is>
      </c>
    </row>
    <row r="79">
      <c r="A79" s="5" t="n">
        <v>46246</v>
      </c>
      <c r="B79" s="4" t="inlineStr">
        <is>
          <t>INV-010</t>
        </is>
      </c>
      <c r="C79" s="8">
        <f>IF($B79="","",IFERROR(INDEX('Items'!$B$3:$B$202,MATCH($B79,'Items'!$A$3:$A$202,0)),""))</f>
        <v/>
      </c>
      <c r="D79" s="4" t="inlineStr">
        <is>
          <t>L11187</t>
        </is>
      </c>
      <c r="E79" s="4" t="inlineStr">
        <is>
          <t>Out</t>
        </is>
      </c>
      <c r="F79" s="6" t="n">
        <v>1</v>
      </c>
      <c r="G79" s="4" t="inlineStr">
        <is>
          <t>North branch</t>
        </is>
      </c>
      <c r="H79" s="4" t="n"/>
      <c r="I79" s="4" t="inlineStr">
        <is>
          <t>Issued to clinic rooms</t>
        </is>
      </c>
      <c r="J79" s="4" t="inlineStr">
        <is>
          <t>Yasmin Ali</t>
        </is>
      </c>
    </row>
    <row r="80">
      <c r="A80" s="5" t="n">
        <v>46246</v>
      </c>
      <c r="B80" s="4" t="inlineStr">
        <is>
          <t>INV-015</t>
        </is>
      </c>
      <c r="C80" s="8">
        <f>IF($B80="","",IFERROR(INDEX('Items'!$B$3:$B$202,MATCH($B80,'Items'!$A$3:$A$202,0)),""))</f>
        <v/>
      </c>
      <c r="D80" s="4" t="inlineStr">
        <is>
          <t>L6900</t>
        </is>
      </c>
      <c r="E80" s="4" t="inlineStr">
        <is>
          <t>Out</t>
        </is>
      </c>
      <c r="F80" s="6" t="n">
        <v>1</v>
      </c>
      <c r="G80" s="4" t="inlineStr">
        <is>
          <t>Main branch</t>
        </is>
      </c>
      <c r="H80" s="4" t="n"/>
      <c r="I80" s="4" t="inlineStr">
        <is>
          <t>Issued to clinic rooms</t>
        </is>
      </c>
      <c r="J80" s="4" t="inlineStr">
        <is>
          <t>Mona Fahad</t>
        </is>
      </c>
    </row>
    <row r="81">
      <c r="A81" s="5" t="n">
        <v>46246</v>
      </c>
      <c r="B81" s="4" t="inlineStr">
        <is>
          <t>INV-018</t>
        </is>
      </c>
      <c r="C81" s="8">
        <f>IF($B81="","",IFERROR(INDEX('Items'!$B$3:$B$202,MATCH($B81,'Items'!$A$3:$A$202,0)),""))</f>
        <v/>
      </c>
      <c r="D81" s="4" t="inlineStr">
        <is>
          <t>L7119</t>
        </is>
      </c>
      <c r="E81" s="4" t="inlineStr">
        <is>
          <t>Out</t>
        </is>
      </c>
      <c r="F81" s="6" t="n">
        <v>1</v>
      </c>
      <c r="G81" s="4" t="inlineStr">
        <is>
          <t>Main branch</t>
        </is>
      </c>
      <c r="H81" s="4" t="n"/>
      <c r="I81" s="4" t="inlineStr">
        <is>
          <t>Issued to clinic rooms</t>
        </is>
      </c>
      <c r="J81" s="4" t="inlineStr">
        <is>
          <t>Mona Fahad</t>
        </is>
      </c>
    </row>
    <row r="82">
      <c r="A82" s="5" t="n">
        <v>46246</v>
      </c>
      <c r="B82" s="4" t="inlineStr">
        <is>
          <t>INV-022</t>
        </is>
      </c>
      <c r="C82" s="8">
        <f>IF($B82="","",IFERROR(INDEX('Items'!$B$3:$B$202,MATCH($B82,'Items'!$A$3:$A$202,0)),""))</f>
        <v/>
      </c>
      <c r="D82" s="4" t="inlineStr">
        <is>
          <t>L7798</t>
        </is>
      </c>
      <c r="E82" s="4" t="inlineStr">
        <is>
          <t>Out</t>
        </is>
      </c>
      <c r="F82" s="6" t="n">
        <v>1</v>
      </c>
      <c r="G82" s="4" t="inlineStr">
        <is>
          <t>Main branch</t>
        </is>
      </c>
      <c r="H82" s="4" t="n"/>
      <c r="I82" s="4" t="inlineStr">
        <is>
          <t>Issued to clinic rooms</t>
        </is>
      </c>
      <c r="J82" s="4" t="inlineStr">
        <is>
          <t>Fatima Saad</t>
        </is>
      </c>
    </row>
    <row r="83">
      <c r="A83" s="5" t="n">
        <v>46246</v>
      </c>
      <c r="B83" s="4" t="inlineStr">
        <is>
          <t>INV-027</t>
        </is>
      </c>
      <c r="C83" s="8">
        <f>IF($B83="","",IFERROR(INDEX('Items'!$B$3:$B$202,MATCH($B83,'Items'!$A$3:$A$202,0)),""))</f>
        <v/>
      </c>
      <c r="D83" s="4" t="inlineStr">
        <is>
          <t>L8487</t>
        </is>
      </c>
      <c r="E83" s="4" t="inlineStr">
        <is>
          <t>Out</t>
        </is>
      </c>
      <c r="F83" s="6" t="n">
        <v>3</v>
      </c>
      <c r="G83" s="4" t="inlineStr">
        <is>
          <t>Main branch</t>
        </is>
      </c>
      <c r="H83" s="4" t="n"/>
      <c r="I83" s="4" t="inlineStr">
        <is>
          <t>Issued to clinic rooms</t>
        </is>
      </c>
      <c r="J83" s="4" t="inlineStr">
        <is>
          <t>Mona Fahad</t>
        </is>
      </c>
    </row>
    <row r="84">
      <c r="A84" s="5" t="n">
        <v>46246</v>
      </c>
      <c r="B84" s="4" t="inlineStr">
        <is>
          <t>INV-029</t>
        </is>
      </c>
      <c r="C84" s="8">
        <f>IF($B84="","",IFERROR(INDEX('Items'!$B$3:$B$202,MATCH($B84,'Items'!$A$3:$A$202,0)),""))</f>
        <v/>
      </c>
      <c r="D84" s="4" t="inlineStr">
        <is>
          <t>L8713</t>
        </is>
      </c>
      <c r="E84" s="4" t="inlineStr">
        <is>
          <t>Out</t>
        </is>
      </c>
      <c r="F84" s="6" t="n">
        <v>2</v>
      </c>
      <c r="G84" s="4" t="inlineStr">
        <is>
          <t>Main branch</t>
        </is>
      </c>
      <c r="H84" s="4" t="n"/>
      <c r="I84" s="4" t="inlineStr">
        <is>
          <t>Issued to clinic rooms</t>
        </is>
      </c>
      <c r="J84" s="4" t="inlineStr">
        <is>
          <t>Fatima Saad</t>
        </is>
      </c>
    </row>
    <row r="85">
      <c r="A85" s="5" t="n">
        <v>46246</v>
      </c>
      <c r="B85" s="4" t="inlineStr">
        <is>
          <t>INV-033</t>
        </is>
      </c>
      <c r="C85" s="8">
        <f>IF($B85="","",IFERROR(INDEX('Items'!$B$3:$B$202,MATCH($B85,'Items'!$A$3:$A$202,0)),""))</f>
        <v/>
      </c>
      <c r="D85" s="4" t="inlineStr">
        <is>
          <t>L9024</t>
        </is>
      </c>
      <c r="E85" s="4" t="inlineStr">
        <is>
          <t>Out</t>
        </is>
      </c>
      <c r="F85" s="6" t="n">
        <v>2</v>
      </c>
      <c r="G85" s="4" t="inlineStr">
        <is>
          <t>Main branch</t>
        </is>
      </c>
      <c r="H85" s="4" t="n"/>
      <c r="I85" s="4" t="inlineStr">
        <is>
          <t>Issued to clinic rooms</t>
        </is>
      </c>
      <c r="J85" s="4" t="inlineStr">
        <is>
          <t>Omar Hassan</t>
        </is>
      </c>
    </row>
    <row r="86">
      <c r="A86" s="5" t="n">
        <v>46246</v>
      </c>
      <c r="B86" s="4" t="inlineStr">
        <is>
          <t>INV-033</t>
        </is>
      </c>
      <c r="C86" s="8">
        <f>IF($B86="","",IFERROR(INDEX('Items'!$B$3:$B$202,MATCH($B86,'Items'!$A$3:$A$202,0)),""))</f>
        <v/>
      </c>
      <c r="D86" s="4" t="inlineStr">
        <is>
          <t>L11760</t>
        </is>
      </c>
      <c r="E86" s="4" t="inlineStr">
        <is>
          <t>Out</t>
        </is>
      </c>
      <c r="F86" s="6" t="n">
        <v>2</v>
      </c>
      <c r="G86" s="4" t="inlineStr">
        <is>
          <t>North branch</t>
        </is>
      </c>
      <c r="H86" s="4" t="n"/>
      <c r="I86" s="4" t="inlineStr">
        <is>
          <t>Issued to clinic rooms</t>
        </is>
      </c>
      <c r="J86" s="4" t="inlineStr">
        <is>
          <t>Yasmin Ali</t>
        </is>
      </c>
    </row>
    <row r="87">
      <c r="A87" s="5" t="n">
        <v>46246</v>
      </c>
      <c r="B87" s="4" t="inlineStr">
        <is>
          <t>INV-036</t>
        </is>
      </c>
      <c r="C87" s="8">
        <f>IF($B87="","",IFERROR(INDEX('Items'!$B$3:$B$202,MATCH($B87,'Items'!$A$3:$A$202,0)),""))</f>
        <v/>
      </c>
      <c r="D87" s="4" t="inlineStr">
        <is>
          <t>L9419</t>
        </is>
      </c>
      <c r="E87" s="4" t="inlineStr">
        <is>
          <t>Out</t>
        </is>
      </c>
      <c r="F87" s="6" t="n">
        <v>1</v>
      </c>
      <c r="G87" s="4" t="inlineStr">
        <is>
          <t>Main branch</t>
        </is>
      </c>
      <c r="H87" s="4" t="n"/>
      <c r="I87" s="4" t="inlineStr">
        <is>
          <t>Issued to clinic rooms</t>
        </is>
      </c>
      <c r="J87" s="4" t="inlineStr">
        <is>
          <t>Reem Abdullah</t>
        </is>
      </c>
    </row>
    <row r="88">
      <c r="A88" s="5" t="n">
        <v>46246</v>
      </c>
      <c r="B88" s="4" t="inlineStr">
        <is>
          <t>INV-039</t>
        </is>
      </c>
      <c r="C88" s="8">
        <f>IF($B88="","",IFERROR(INDEX('Items'!$B$3:$B$202,MATCH($B88,'Items'!$A$3:$A$202,0)),""))</f>
        <v/>
      </c>
      <c r="D88" s="4" t="inlineStr">
        <is>
          <t>L9866</t>
        </is>
      </c>
      <c r="E88" s="4" t="inlineStr">
        <is>
          <t>Out</t>
        </is>
      </c>
      <c r="F88" s="6" t="n">
        <v>1</v>
      </c>
      <c r="G88" s="4" t="inlineStr">
        <is>
          <t>Main branch</t>
        </is>
      </c>
      <c r="H88" s="4" t="n"/>
      <c r="I88" s="4" t="inlineStr">
        <is>
          <t>Issued to clinic rooms</t>
        </is>
      </c>
      <c r="J88" s="4" t="inlineStr">
        <is>
          <t>Reem Abdullah</t>
        </is>
      </c>
    </row>
    <row r="89">
      <c r="A89" s="5" t="n">
        <v>46246</v>
      </c>
      <c r="B89" s="4" t="inlineStr">
        <is>
          <t>INV-043</t>
        </is>
      </c>
      <c r="C89" s="8">
        <f>IF($B89="","",IFERROR(INDEX('Items'!$B$3:$B$202,MATCH($B89,'Items'!$A$3:$A$202,0)),""))</f>
        <v/>
      </c>
      <c r="D89" s="4" t="inlineStr">
        <is>
          <t>L10331</t>
        </is>
      </c>
      <c r="E89" s="4" t="inlineStr">
        <is>
          <t>Out</t>
        </is>
      </c>
      <c r="F89" s="6" t="n">
        <v>1</v>
      </c>
      <c r="G89" s="4" t="inlineStr">
        <is>
          <t>Main branch</t>
        </is>
      </c>
      <c r="H89" s="4" t="n"/>
      <c r="I89" s="4" t="inlineStr">
        <is>
          <t>Issued to clinic rooms</t>
        </is>
      </c>
      <c r="J89" s="4" t="inlineStr">
        <is>
          <t>Reem Abdullah</t>
        </is>
      </c>
    </row>
    <row r="90">
      <c r="A90" s="5" t="n">
        <v>46247</v>
      </c>
      <c r="B90" s="4" t="inlineStr">
        <is>
          <t>INV-012</t>
        </is>
      </c>
      <c r="C90" s="8">
        <f>IF($B90="","",IFERROR(INDEX('Items'!$B$3:$B$202,MATCH($B90,'Items'!$A$3:$A$202,0)),""))</f>
        <v/>
      </c>
      <c r="D90" s="4" t="inlineStr">
        <is>
          <t>L11481</t>
        </is>
      </c>
      <c r="E90" s="4" t="inlineStr">
        <is>
          <t>Out</t>
        </is>
      </c>
      <c r="F90" s="6" t="n">
        <v>2</v>
      </c>
      <c r="G90" s="4" t="inlineStr">
        <is>
          <t>North branch</t>
        </is>
      </c>
      <c r="H90" s="4" t="n"/>
      <c r="I90" s="4" t="inlineStr">
        <is>
          <t>Issued to clinic rooms</t>
        </is>
      </c>
      <c r="J90" s="4" t="inlineStr">
        <is>
          <t>Yasmin Ali</t>
        </is>
      </c>
    </row>
    <row r="91">
      <c r="A91" s="5" t="n">
        <v>46247</v>
      </c>
      <c r="B91" s="4" t="inlineStr">
        <is>
          <t>INV-017</t>
        </is>
      </c>
      <c r="C91" s="8">
        <f>IF($B91="","",IFERROR(INDEX('Items'!$B$3:$B$202,MATCH($B91,'Items'!$A$3:$A$202,0)),""))</f>
        <v/>
      </c>
      <c r="D91" s="4" t="inlineStr">
        <is>
          <t>L11640</t>
        </is>
      </c>
      <c r="E91" s="4" t="inlineStr">
        <is>
          <t>Out</t>
        </is>
      </c>
      <c r="F91" s="6" t="n">
        <v>2</v>
      </c>
      <c r="G91" s="4" t="inlineStr">
        <is>
          <t>North branch</t>
        </is>
      </c>
      <c r="H91" s="4" t="n"/>
      <c r="I91" s="4" t="inlineStr">
        <is>
          <t>Issued to clinic rooms</t>
        </is>
      </c>
      <c r="J91" s="4" t="inlineStr">
        <is>
          <t>Yasmin Ali</t>
        </is>
      </c>
    </row>
    <row r="92">
      <c r="A92" s="5" t="n">
        <v>46247</v>
      </c>
      <c r="B92" s="4" t="inlineStr">
        <is>
          <t>INV-020</t>
        </is>
      </c>
      <c r="C92" s="8">
        <f>IF($B92="","",IFERROR(INDEX('Items'!$B$3:$B$202,MATCH($B92,'Items'!$A$3:$A$202,0)),""))</f>
        <v/>
      </c>
      <c r="D92" s="4" t="inlineStr">
        <is>
          <t>L7439</t>
        </is>
      </c>
      <c r="E92" s="4" t="inlineStr">
        <is>
          <t>Out</t>
        </is>
      </c>
      <c r="F92" s="6" t="n">
        <v>1</v>
      </c>
      <c r="G92" s="4" t="inlineStr">
        <is>
          <t>Main branch</t>
        </is>
      </c>
      <c r="H92" s="4" t="n"/>
      <c r="I92" s="4" t="inlineStr">
        <is>
          <t>Issued to clinic rooms</t>
        </is>
      </c>
      <c r="J92" s="4" t="inlineStr">
        <is>
          <t>Mona Fahad</t>
        </is>
      </c>
    </row>
    <row r="93">
      <c r="A93" s="5" t="n">
        <v>46247</v>
      </c>
      <c r="B93" s="4" t="inlineStr">
        <is>
          <t>INV-040</t>
        </is>
      </c>
      <c r="C93" s="8">
        <f>IF($B93="","",IFERROR(INDEX('Items'!$B$3:$B$202,MATCH($B93,'Items'!$A$3:$A$202,0)),""))</f>
        <v/>
      </c>
      <c r="D93" s="4" t="inlineStr">
        <is>
          <t>L9915</t>
        </is>
      </c>
      <c r="E93" s="4" t="inlineStr">
        <is>
          <t>Out</t>
        </is>
      </c>
      <c r="F93" s="6" t="n">
        <v>1</v>
      </c>
      <c r="G93" s="4" t="inlineStr">
        <is>
          <t>Main branch</t>
        </is>
      </c>
      <c r="H93" s="4" t="n"/>
      <c r="I93" s="4" t="inlineStr">
        <is>
          <t>Issued to clinic rooms</t>
        </is>
      </c>
      <c r="J93" s="4" t="inlineStr">
        <is>
          <t>Omar Hassan</t>
        </is>
      </c>
    </row>
    <row r="94">
      <c r="A94" s="5" t="n">
        <v>46250</v>
      </c>
      <c r="B94" s="4" t="inlineStr">
        <is>
          <t>INV-004</t>
        </is>
      </c>
      <c r="C94" s="8">
        <f>IF($B94="","",IFERROR(INDEX('Items'!$B$3:$B$202,MATCH($B94,'Items'!$A$3:$A$202,0)),""))</f>
        <v/>
      </c>
      <c r="D94" s="4" t="inlineStr">
        <is>
          <t>L11058</t>
        </is>
      </c>
      <c r="E94" s="4" t="inlineStr">
        <is>
          <t>Out</t>
        </is>
      </c>
      <c r="F94" s="6" t="n">
        <v>3</v>
      </c>
      <c r="G94" s="4" t="inlineStr">
        <is>
          <t>North branch</t>
        </is>
      </c>
      <c r="H94" s="4" t="n"/>
      <c r="I94" s="4" t="inlineStr">
        <is>
          <t>Issued to clinic rooms</t>
        </is>
      </c>
      <c r="J94" s="4" t="inlineStr">
        <is>
          <t>Yasmin Ali</t>
        </is>
      </c>
    </row>
    <row r="95">
      <c r="A95" s="5" t="n">
        <v>46250</v>
      </c>
      <c r="B95" s="4" t="inlineStr">
        <is>
          <t>INV-012</t>
        </is>
      </c>
      <c r="C95" s="8">
        <f>IF($B95="","",IFERROR(INDEX('Items'!$B$3:$B$202,MATCH($B95,'Items'!$A$3:$A$202,0)),""))</f>
        <v/>
      </c>
      <c r="D95" s="4" t="inlineStr">
        <is>
          <t>L6488</t>
        </is>
      </c>
      <c r="E95" s="4" t="inlineStr">
        <is>
          <t>Out</t>
        </is>
      </c>
      <c r="F95" s="6" t="n">
        <v>4</v>
      </c>
      <c r="G95" s="4" t="inlineStr">
        <is>
          <t>Main branch</t>
        </is>
      </c>
      <c r="H95" s="4" t="n"/>
      <c r="I95" s="4" t="inlineStr">
        <is>
          <t>Issued to clinic rooms</t>
        </is>
      </c>
      <c r="J95" s="4" t="inlineStr">
        <is>
          <t>Fatima Saad</t>
        </is>
      </c>
    </row>
    <row r="96">
      <c r="A96" s="5" t="n">
        <v>46250</v>
      </c>
      <c r="B96" s="4" t="inlineStr">
        <is>
          <t>INV-014</t>
        </is>
      </c>
      <c r="C96" s="8">
        <f>IF($B96="","",IFERROR(INDEX('Items'!$B$3:$B$202,MATCH($B96,'Items'!$A$3:$A$202,0)),""))</f>
        <v/>
      </c>
      <c r="D96" s="4" t="inlineStr">
        <is>
          <t>L6777</t>
        </is>
      </c>
      <c r="E96" s="4" t="inlineStr">
        <is>
          <t>Out</t>
        </is>
      </c>
      <c r="F96" s="6" t="n">
        <v>2</v>
      </c>
      <c r="G96" s="4" t="inlineStr">
        <is>
          <t>Main branch</t>
        </is>
      </c>
      <c r="H96" s="4" t="n"/>
      <c r="I96" s="4" t="inlineStr">
        <is>
          <t>Issued to clinic rooms</t>
        </is>
      </c>
      <c r="J96" s="4" t="inlineStr">
        <is>
          <t>Fatima Saad</t>
        </is>
      </c>
    </row>
    <row r="97">
      <c r="A97" s="5" t="n">
        <v>46250</v>
      </c>
      <c r="B97" s="4" t="inlineStr">
        <is>
          <t>INV-017</t>
        </is>
      </c>
      <c r="C97" s="8">
        <f>IF($B97="","",IFERROR(INDEX('Items'!$B$3:$B$202,MATCH($B97,'Items'!$A$3:$A$202,0)),""))</f>
        <v/>
      </c>
      <c r="D97" s="4" t="inlineStr">
        <is>
          <t>L11671</t>
        </is>
      </c>
      <c r="E97" s="4" t="inlineStr">
        <is>
          <t>Out</t>
        </is>
      </c>
      <c r="F97" s="6" t="n">
        <v>3</v>
      </c>
      <c r="G97" s="4" t="inlineStr">
        <is>
          <t>North branch</t>
        </is>
      </c>
      <c r="H97" s="4" t="n"/>
      <c r="I97" s="4" t="inlineStr">
        <is>
          <t>Issued to clinic rooms</t>
        </is>
      </c>
      <c r="J97" s="4" t="inlineStr">
        <is>
          <t>Yasmin Ali</t>
        </is>
      </c>
    </row>
    <row r="98">
      <c r="A98" s="5" t="n">
        <v>46250</v>
      </c>
      <c r="B98" s="4" t="inlineStr">
        <is>
          <t>INV-020</t>
        </is>
      </c>
      <c r="C98" s="8">
        <f>IF($B98="","",IFERROR(INDEX('Items'!$B$3:$B$202,MATCH($B98,'Items'!$A$3:$A$202,0)),""))</f>
        <v/>
      </c>
      <c r="D98" s="4" t="inlineStr">
        <is>
          <t>L7439</t>
        </is>
      </c>
      <c r="E98" s="4" t="inlineStr">
        <is>
          <t>Out</t>
        </is>
      </c>
      <c r="F98" s="6" t="n">
        <v>1</v>
      </c>
      <c r="G98" s="4" t="inlineStr">
        <is>
          <t>Main branch</t>
        </is>
      </c>
      <c r="H98" s="4" t="n"/>
      <c r="I98" s="4" t="inlineStr">
        <is>
          <t>Issued to clinic rooms</t>
        </is>
      </c>
      <c r="J98" s="4" t="inlineStr">
        <is>
          <t>Mona Fahad</t>
        </is>
      </c>
    </row>
    <row r="99">
      <c r="A99" s="5" t="n">
        <v>46250</v>
      </c>
      <c r="B99" s="4" t="inlineStr">
        <is>
          <t>INV-022</t>
        </is>
      </c>
      <c r="C99" s="8">
        <f>IF($B99="","",IFERROR(INDEX('Items'!$B$3:$B$202,MATCH($B99,'Items'!$A$3:$A$202,0)),""))</f>
        <v/>
      </c>
      <c r="D99" s="4" t="inlineStr">
        <is>
          <t>L7821</t>
        </is>
      </c>
      <c r="E99" s="4" t="inlineStr">
        <is>
          <t>Out</t>
        </is>
      </c>
      <c r="F99" s="6" t="n">
        <v>1</v>
      </c>
      <c r="G99" s="4" t="inlineStr">
        <is>
          <t>Main branch</t>
        </is>
      </c>
      <c r="H99" s="4" t="n"/>
      <c r="I99" s="4" t="inlineStr">
        <is>
          <t>Issued to clinic rooms</t>
        </is>
      </c>
      <c r="J99" s="4" t="inlineStr">
        <is>
          <t>Fatima Saad</t>
        </is>
      </c>
    </row>
    <row r="100">
      <c r="A100" s="5" t="n">
        <v>46250</v>
      </c>
      <c r="B100" s="4" t="inlineStr">
        <is>
          <t>INV-034</t>
        </is>
      </c>
      <c r="C100" s="8">
        <f>IF($B100="","",IFERROR(INDEX('Items'!$B$3:$B$202,MATCH($B100,'Items'!$A$3:$A$202,0)),""))</f>
        <v/>
      </c>
      <c r="D100" s="4" t="inlineStr">
        <is>
          <t>L9240</t>
        </is>
      </c>
      <c r="E100" s="4" t="inlineStr">
        <is>
          <t>Out</t>
        </is>
      </c>
      <c r="F100" s="6" t="n">
        <v>1</v>
      </c>
      <c r="G100" s="4" t="inlineStr">
        <is>
          <t>Main branch</t>
        </is>
      </c>
      <c r="H100" s="4" t="n"/>
      <c r="I100" s="4" t="inlineStr">
        <is>
          <t>Issued to clinic rooms</t>
        </is>
      </c>
      <c r="J100" s="4" t="inlineStr">
        <is>
          <t>Omar Hassan</t>
        </is>
      </c>
    </row>
    <row r="101">
      <c r="A101" s="5" t="n">
        <v>46250</v>
      </c>
      <c r="B101" s="4" t="inlineStr">
        <is>
          <t>INV-037</t>
        </is>
      </c>
      <c r="C101" s="8">
        <f>IF($B101="","",IFERROR(INDEX('Items'!$B$3:$B$202,MATCH($B101,'Items'!$A$3:$A$202,0)),""))</f>
        <v/>
      </c>
      <c r="D101" s="4" t="inlineStr">
        <is>
          <t>L9576</t>
        </is>
      </c>
      <c r="E101" s="4" t="inlineStr">
        <is>
          <t>Out</t>
        </is>
      </c>
      <c r="F101" s="6" t="n">
        <v>4</v>
      </c>
      <c r="G101" s="4" t="inlineStr">
        <is>
          <t>Main branch</t>
        </is>
      </c>
      <c r="H101" s="4" t="n"/>
      <c r="I101" s="4" t="inlineStr">
        <is>
          <t>Issued to clinic rooms</t>
        </is>
      </c>
      <c r="J101" s="4" t="inlineStr">
        <is>
          <t>Reem Abdullah</t>
        </is>
      </c>
    </row>
    <row r="102">
      <c r="A102" s="5" t="n">
        <v>46250</v>
      </c>
      <c r="B102" s="4" t="inlineStr">
        <is>
          <t>INV-038</t>
        </is>
      </c>
      <c r="C102" s="8">
        <f>IF($B102="","",IFERROR(INDEX('Items'!$B$3:$B$202,MATCH($B102,'Items'!$A$3:$A$202,0)),""))</f>
        <v/>
      </c>
      <c r="D102" s="4" t="inlineStr">
        <is>
          <t>L9742</t>
        </is>
      </c>
      <c r="E102" s="4" t="inlineStr">
        <is>
          <t>Out</t>
        </is>
      </c>
      <c r="F102" s="6" t="n">
        <v>5</v>
      </c>
      <c r="G102" s="4" t="inlineStr">
        <is>
          <t>Main branch</t>
        </is>
      </c>
      <c r="H102" s="4" t="n"/>
      <c r="I102" s="4" t="inlineStr">
        <is>
          <t>Issued to clinic rooms</t>
        </is>
      </c>
      <c r="J102" s="4" t="inlineStr">
        <is>
          <t>Omar Hassan</t>
        </is>
      </c>
    </row>
    <row r="103">
      <c r="A103" s="5" t="n">
        <v>46250</v>
      </c>
      <c r="B103" s="4" t="inlineStr">
        <is>
          <t>INV-045</t>
        </is>
      </c>
      <c r="C103" s="8">
        <f>IF($B103="","",IFERROR(INDEX('Items'!$B$3:$B$202,MATCH($B103,'Items'!$A$3:$A$202,0)),""))</f>
        <v/>
      </c>
      <c r="D103" s="4" t="inlineStr">
        <is>
          <t>L10566</t>
        </is>
      </c>
      <c r="E103" s="4" t="inlineStr">
        <is>
          <t>Out</t>
        </is>
      </c>
      <c r="F103" s="6" t="n">
        <v>2</v>
      </c>
      <c r="G103" s="4" t="inlineStr">
        <is>
          <t>Main branch</t>
        </is>
      </c>
      <c r="H103" s="4" t="n"/>
      <c r="I103" s="4" t="inlineStr">
        <is>
          <t>Issued to clinic rooms</t>
        </is>
      </c>
      <c r="J103" s="4" t="inlineStr">
        <is>
          <t>Omar Hassan</t>
        </is>
      </c>
    </row>
    <row r="104">
      <c r="A104" s="5" t="n">
        <v>46251</v>
      </c>
      <c r="B104" s="4" t="inlineStr">
        <is>
          <t>INV-002</t>
        </is>
      </c>
      <c r="C104" s="8">
        <f>IF($B104="","",IFERROR(INDEX('Items'!$B$3:$B$202,MATCH($B104,'Items'!$A$3:$A$202,0)),""))</f>
        <v/>
      </c>
      <c r="D104" s="4" t="inlineStr">
        <is>
          <t>L5216</t>
        </is>
      </c>
      <c r="E104" s="4" t="inlineStr">
        <is>
          <t>Out</t>
        </is>
      </c>
      <c r="F104" s="6" t="n">
        <v>5</v>
      </c>
      <c r="G104" s="4" t="inlineStr">
        <is>
          <t>Main branch</t>
        </is>
      </c>
      <c r="H104" s="4" t="n"/>
      <c r="I104" s="4" t="inlineStr">
        <is>
          <t>Issued to clinic rooms</t>
        </is>
      </c>
      <c r="J104" s="4" t="inlineStr">
        <is>
          <t>Mona Fahad</t>
        </is>
      </c>
    </row>
    <row r="105">
      <c r="A105" s="5" t="n">
        <v>46251</v>
      </c>
      <c r="B105" s="4" t="inlineStr">
        <is>
          <t>INV-005</t>
        </is>
      </c>
      <c r="C105" s="8">
        <f>IF($B105="","",IFERROR(INDEX('Items'!$B$3:$B$202,MATCH($B105,'Items'!$A$3:$A$202,0)),""))</f>
        <v/>
      </c>
      <c r="D105" s="4" t="inlineStr">
        <is>
          <t>L5721</t>
        </is>
      </c>
      <c r="E105" s="4" t="inlineStr">
        <is>
          <t>Out</t>
        </is>
      </c>
      <c r="F105" s="6" t="n">
        <v>3</v>
      </c>
      <c r="G105" s="4" t="inlineStr">
        <is>
          <t>Main branch</t>
        </is>
      </c>
      <c r="H105" s="4" t="n"/>
      <c r="I105" s="4" t="inlineStr">
        <is>
          <t>Issued to clinic rooms</t>
        </is>
      </c>
      <c r="J105" s="4" t="inlineStr">
        <is>
          <t>Mona Fahad</t>
        </is>
      </c>
    </row>
    <row r="106">
      <c r="A106" s="5" t="n">
        <v>46251</v>
      </c>
      <c r="B106" s="4" t="inlineStr">
        <is>
          <t>INV-007</t>
        </is>
      </c>
      <c r="C106" s="8">
        <f>IF($B106="","",IFERROR(INDEX('Items'!$B$3:$B$202,MATCH($B106,'Items'!$A$3:$A$202,0)),""))</f>
        <v/>
      </c>
      <c r="D106" s="4" t="inlineStr">
        <is>
          <t>L6036</t>
        </is>
      </c>
      <c r="E106" s="4" t="inlineStr">
        <is>
          <t>Out</t>
        </is>
      </c>
      <c r="F106" s="6" t="n">
        <v>2</v>
      </c>
      <c r="G106" s="4" t="inlineStr">
        <is>
          <t>Main branch</t>
        </is>
      </c>
      <c r="H106" s="4" t="n"/>
      <c r="I106" s="4" t="inlineStr">
        <is>
          <t>Issued to clinic rooms</t>
        </is>
      </c>
      <c r="J106" s="4" t="inlineStr">
        <is>
          <t>Mona Fahad</t>
        </is>
      </c>
    </row>
    <row r="107">
      <c r="A107" s="5" t="n">
        <v>46251</v>
      </c>
      <c r="B107" s="4" t="inlineStr">
        <is>
          <t>INV-010</t>
        </is>
      </c>
      <c r="C107" s="8">
        <f>IF($B107="","",IFERROR(INDEX('Items'!$B$3:$B$202,MATCH($B107,'Items'!$A$3:$A$202,0)),""))</f>
        <v/>
      </c>
      <c r="D107" s="4" t="inlineStr">
        <is>
          <t>L11213</t>
        </is>
      </c>
      <c r="E107" s="4" t="inlineStr">
        <is>
          <t>Out</t>
        </is>
      </c>
      <c r="F107" s="6" t="n">
        <v>1</v>
      </c>
      <c r="G107" s="4" t="inlineStr">
        <is>
          <t>North branch</t>
        </is>
      </c>
      <c r="H107" s="4" t="n"/>
      <c r="I107" s="4" t="inlineStr">
        <is>
          <t>Issued to clinic rooms</t>
        </is>
      </c>
      <c r="J107" s="4" t="inlineStr">
        <is>
          <t>Yasmin Ali</t>
        </is>
      </c>
    </row>
    <row r="108">
      <c r="A108" s="5" t="n">
        <v>46251</v>
      </c>
      <c r="B108" s="4" t="inlineStr">
        <is>
          <t>INV-013</t>
        </is>
      </c>
      <c r="C108" s="8">
        <f>IF($B108="","",IFERROR(INDEX('Items'!$B$3:$B$202,MATCH($B108,'Items'!$A$3:$A$202,0)),""))</f>
        <v/>
      </c>
      <c r="D108" s="4" t="inlineStr">
        <is>
          <t>L6719</t>
        </is>
      </c>
      <c r="E108" s="4" t="inlineStr">
        <is>
          <t>Out</t>
        </is>
      </c>
      <c r="F108" s="6" t="n">
        <v>4</v>
      </c>
      <c r="G108" s="4" t="inlineStr">
        <is>
          <t>Main branch</t>
        </is>
      </c>
      <c r="H108" s="4" t="n"/>
      <c r="I108" s="4" t="inlineStr">
        <is>
          <t>Issued to clinic rooms</t>
        </is>
      </c>
      <c r="J108" s="4" t="inlineStr">
        <is>
          <t>Mona Fahad</t>
        </is>
      </c>
    </row>
    <row r="109">
      <c r="A109" s="5" t="n">
        <v>46251</v>
      </c>
      <c r="B109" s="4" t="inlineStr">
        <is>
          <t>INV-018</t>
        </is>
      </c>
      <c r="C109" s="8">
        <f>IF($B109="","",IFERROR(INDEX('Items'!$B$3:$B$202,MATCH($B109,'Items'!$A$3:$A$202,0)),""))</f>
        <v/>
      </c>
      <c r="D109" s="4" t="inlineStr">
        <is>
          <t>L7119</t>
        </is>
      </c>
      <c r="E109" s="4" t="inlineStr">
        <is>
          <t>Out</t>
        </is>
      </c>
      <c r="F109" s="6" t="n">
        <v>1</v>
      </c>
      <c r="G109" s="4" t="inlineStr">
        <is>
          <t>Main branch</t>
        </is>
      </c>
      <c r="H109" s="4" t="n"/>
      <c r="I109" s="4" t="inlineStr">
        <is>
          <t>Issued to clinic rooms</t>
        </is>
      </c>
      <c r="J109" s="4" t="inlineStr">
        <is>
          <t>Mona Fahad</t>
        </is>
      </c>
    </row>
    <row r="110">
      <c r="A110" s="5" t="n">
        <v>46251</v>
      </c>
      <c r="B110" s="4" t="inlineStr">
        <is>
          <t>INV-019</t>
        </is>
      </c>
      <c r="C110" s="8">
        <f>IF($B110="","",IFERROR(INDEX('Items'!$B$3:$B$202,MATCH($B110,'Items'!$A$3:$A$202,0)),""))</f>
        <v/>
      </c>
      <c r="D110" s="4" t="inlineStr">
        <is>
          <t>L7336</t>
        </is>
      </c>
      <c r="E110" s="4" t="inlineStr">
        <is>
          <t>Out</t>
        </is>
      </c>
      <c r="F110" s="6" t="n">
        <v>3</v>
      </c>
      <c r="G110" s="4" t="inlineStr">
        <is>
          <t>Main branch</t>
        </is>
      </c>
      <c r="H110" s="4" t="n"/>
      <c r="I110" s="4" t="inlineStr">
        <is>
          <t>Issued to clinic rooms</t>
        </is>
      </c>
      <c r="J110" s="4" t="inlineStr">
        <is>
          <t>Mona Fahad</t>
        </is>
      </c>
    </row>
    <row r="111">
      <c r="A111" s="5" t="n">
        <v>46251</v>
      </c>
      <c r="B111" s="4" t="inlineStr">
        <is>
          <t>INV-024</t>
        </is>
      </c>
      <c r="C111" s="8">
        <f>IF($B111="","",IFERROR(INDEX('Items'!$B$3:$B$202,MATCH($B111,'Items'!$A$3:$A$202,0)),""))</f>
        <v/>
      </c>
      <c r="D111" s="4" t="inlineStr">
        <is>
          <t>L8155</t>
        </is>
      </c>
      <c r="E111" s="4" t="inlineStr">
        <is>
          <t>Out</t>
        </is>
      </c>
      <c r="F111" s="6" t="n">
        <v>3</v>
      </c>
      <c r="G111" s="4" t="inlineStr">
        <is>
          <t>Main branch</t>
        </is>
      </c>
      <c r="H111" s="4" t="n"/>
      <c r="I111" s="4" t="inlineStr">
        <is>
          <t>Issued to clinic rooms</t>
        </is>
      </c>
      <c r="J111" s="4" t="inlineStr">
        <is>
          <t>Fatima Saad</t>
        </is>
      </c>
    </row>
    <row r="112">
      <c r="A112" s="5" t="n">
        <v>46251</v>
      </c>
      <c r="B112" s="4" t="inlineStr">
        <is>
          <t>INV-033</t>
        </is>
      </c>
      <c r="C112" s="8">
        <f>IF($B112="","",IFERROR(INDEX('Items'!$B$3:$B$202,MATCH($B112,'Items'!$A$3:$A$202,0)),""))</f>
        <v/>
      </c>
      <c r="D112" s="4" t="inlineStr">
        <is>
          <t>L9024</t>
        </is>
      </c>
      <c r="E112" s="4" t="inlineStr">
        <is>
          <t>Out</t>
        </is>
      </c>
      <c r="F112" s="6" t="n">
        <v>2</v>
      </c>
      <c r="G112" s="4" t="inlineStr">
        <is>
          <t>Main branch</t>
        </is>
      </c>
      <c r="H112" s="4" t="n"/>
      <c r="I112" s="4" t="inlineStr">
        <is>
          <t>Issued to clinic rooms</t>
        </is>
      </c>
      <c r="J112" s="4" t="inlineStr">
        <is>
          <t>Reem Abdullah</t>
        </is>
      </c>
    </row>
    <row r="113">
      <c r="A113" s="5" t="n">
        <v>46252</v>
      </c>
      <c r="B113" s="4" t="inlineStr">
        <is>
          <t>INV-011</t>
        </is>
      </c>
      <c r="C113" s="8">
        <f>IF($B113="","",IFERROR(INDEX('Items'!$B$3:$B$202,MATCH($B113,'Items'!$A$3:$A$202,0)),""))</f>
        <v/>
      </c>
      <c r="D113" s="4" t="inlineStr">
        <is>
          <t>L6436</t>
        </is>
      </c>
      <c r="E113" s="4" t="inlineStr">
        <is>
          <t>Out</t>
        </is>
      </c>
      <c r="F113" s="6" t="n">
        <v>3</v>
      </c>
      <c r="G113" s="4" t="inlineStr">
        <is>
          <t>Main branch</t>
        </is>
      </c>
      <c r="H113" s="4" t="n"/>
      <c r="I113" s="4" t="inlineStr">
        <is>
          <t>Issued to clinic rooms</t>
        </is>
      </c>
      <c r="J113" s="4" t="inlineStr">
        <is>
          <t>Mona Fahad</t>
        </is>
      </c>
    </row>
    <row r="114">
      <c r="A114" s="5" t="n">
        <v>46252</v>
      </c>
      <c r="B114" s="4" t="inlineStr">
        <is>
          <t>INV-012</t>
        </is>
      </c>
      <c r="C114" s="8">
        <f>IF($B114="","",IFERROR(INDEX('Items'!$B$3:$B$202,MATCH($B114,'Items'!$A$3:$A$202,0)),""))</f>
        <v/>
      </c>
      <c r="D114" s="4" t="inlineStr">
        <is>
          <t>L11481</t>
        </is>
      </c>
      <c r="E114" s="4" t="inlineStr">
        <is>
          <t>Out</t>
        </is>
      </c>
      <c r="F114" s="6" t="n">
        <v>3</v>
      </c>
      <c r="G114" s="4" t="inlineStr">
        <is>
          <t>North branch</t>
        </is>
      </c>
      <c r="H114" s="4" t="n"/>
      <c r="I114" s="4" t="inlineStr">
        <is>
          <t>Issued to clinic rooms</t>
        </is>
      </c>
      <c r="J114" s="4" t="inlineStr">
        <is>
          <t>Yasmin Ali</t>
        </is>
      </c>
    </row>
    <row r="115">
      <c r="A115" s="5" t="n">
        <v>46252</v>
      </c>
      <c r="B115" s="4" t="inlineStr">
        <is>
          <t>INV-016</t>
        </is>
      </c>
      <c r="C115" s="8">
        <f>IF($B115="","",IFERROR(INDEX('Items'!$B$3:$B$202,MATCH($B115,'Items'!$A$3:$A$202,0)),""))</f>
        <v/>
      </c>
      <c r="D115" s="4" t="inlineStr">
        <is>
          <t>L6967</t>
        </is>
      </c>
      <c r="E115" s="4" t="inlineStr">
        <is>
          <t>Out</t>
        </is>
      </c>
      <c r="F115" s="6" t="n">
        <v>3</v>
      </c>
      <c r="G115" s="4" t="inlineStr">
        <is>
          <t>Main branch</t>
        </is>
      </c>
      <c r="H115" s="4" t="n"/>
      <c r="I115" s="4" t="inlineStr">
        <is>
          <t>Issued to clinic rooms</t>
        </is>
      </c>
      <c r="J115" s="4" t="inlineStr">
        <is>
          <t>Fatima Saad</t>
        </is>
      </c>
    </row>
    <row r="116">
      <c r="A116" s="5" t="n">
        <v>46252</v>
      </c>
      <c r="B116" s="4" t="inlineStr">
        <is>
          <t>INV-025</t>
        </is>
      </c>
      <c r="C116" s="8">
        <f>IF($B116="","",IFERROR(INDEX('Items'!$B$3:$B$202,MATCH($B116,'Items'!$A$3:$A$202,0)),""))</f>
        <v/>
      </c>
      <c r="D116" s="4" t="inlineStr">
        <is>
          <t>L8335</t>
        </is>
      </c>
      <c r="E116" s="4" t="inlineStr">
        <is>
          <t>Out</t>
        </is>
      </c>
      <c r="F116" s="6" t="n">
        <v>1</v>
      </c>
      <c r="G116" s="4" t="inlineStr">
        <is>
          <t>Main branch</t>
        </is>
      </c>
      <c r="H116" s="4" t="n"/>
      <c r="I116" s="4" t="inlineStr">
        <is>
          <t>Issued to clinic rooms</t>
        </is>
      </c>
      <c r="J116" s="4" t="inlineStr">
        <is>
          <t>Fatima Saad</t>
        </is>
      </c>
    </row>
    <row r="117">
      <c r="A117" s="5" t="n">
        <v>46252</v>
      </c>
      <c r="B117" s="4" t="inlineStr">
        <is>
          <t>INV-029</t>
        </is>
      </c>
      <c r="C117" s="8">
        <f>IF($B117="","",IFERROR(INDEX('Items'!$B$3:$B$202,MATCH($B117,'Items'!$A$3:$A$202,0)),""))</f>
        <v/>
      </c>
      <c r="D117" s="4" t="inlineStr">
        <is>
          <t>L8800</t>
        </is>
      </c>
      <c r="E117" s="4" t="inlineStr">
        <is>
          <t>Out</t>
        </is>
      </c>
      <c r="F117" s="6" t="n">
        <v>2</v>
      </c>
      <c r="G117" s="4" t="inlineStr">
        <is>
          <t>Main branch</t>
        </is>
      </c>
      <c r="H117" s="4" t="n"/>
      <c r="I117" s="4" t="inlineStr">
        <is>
          <t>Issued to clinic rooms</t>
        </is>
      </c>
      <c r="J117" s="4" t="inlineStr">
        <is>
          <t>Fatima Saad</t>
        </is>
      </c>
    </row>
    <row r="118">
      <c r="A118" s="5" t="n">
        <v>46252</v>
      </c>
      <c r="B118" s="4" t="inlineStr">
        <is>
          <t>INV-036</t>
        </is>
      </c>
      <c r="C118" s="8">
        <f>IF($B118="","",IFERROR(INDEX('Items'!$B$3:$B$202,MATCH($B118,'Items'!$A$3:$A$202,0)),""))</f>
        <v/>
      </c>
      <c r="D118" s="4" t="inlineStr">
        <is>
          <t>L9419</t>
        </is>
      </c>
      <c r="E118" s="4" t="inlineStr">
        <is>
          <t>Out</t>
        </is>
      </c>
      <c r="F118" s="6" t="n">
        <v>1</v>
      </c>
      <c r="G118" s="4" t="inlineStr">
        <is>
          <t>Main branch</t>
        </is>
      </c>
      <c r="H118" s="4" t="n"/>
      <c r="I118" s="4" t="inlineStr">
        <is>
          <t>Issued to clinic rooms</t>
        </is>
      </c>
      <c r="J118" s="4" t="inlineStr">
        <is>
          <t>Omar Hassan</t>
        </is>
      </c>
    </row>
    <row r="119">
      <c r="A119" s="5" t="n">
        <v>46252</v>
      </c>
      <c r="B119" s="4" t="inlineStr">
        <is>
          <t>INV-040</t>
        </is>
      </c>
      <c r="C119" s="8">
        <f>IF($B119="","",IFERROR(INDEX('Items'!$B$3:$B$202,MATCH($B119,'Items'!$A$3:$A$202,0)),""))</f>
        <v/>
      </c>
      <c r="D119" s="4" t="inlineStr">
        <is>
          <t>L9977</t>
        </is>
      </c>
      <c r="E119" s="4" t="inlineStr">
        <is>
          <t>Out</t>
        </is>
      </c>
      <c r="F119" s="6" t="n">
        <v>1</v>
      </c>
      <c r="G119" s="4" t="inlineStr">
        <is>
          <t>Main branch</t>
        </is>
      </c>
      <c r="H119" s="4" t="n"/>
      <c r="I119" s="4" t="inlineStr">
        <is>
          <t>Issued to clinic rooms</t>
        </is>
      </c>
      <c r="J119" s="4" t="inlineStr">
        <is>
          <t>Omar Hassan</t>
        </is>
      </c>
    </row>
    <row r="120">
      <c r="A120" s="5" t="n">
        <v>46253</v>
      </c>
      <c r="B120" s="4" t="inlineStr">
        <is>
          <t>INV-003</t>
        </is>
      </c>
      <c r="C120" s="8">
        <f>IF($B120="","",IFERROR(INDEX('Items'!$B$3:$B$202,MATCH($B120,'Items'!$A$3:$A$202,0)),""))</f>
        <v/>
      </c>
      <c r="D120" s="4" t="inlineStr">
        <is>
          <t>L5441</t>
        </is>
      </c>
      <c r="E120" s="4" t="inlineStr">
        <is>
          <t>Out</t>
        </is>
      </c>
      <c r="F120" s="6" t="n">
        <v>5</v>
      </c>
      <c r="G120" s="4" t="inlineStr">
        <is>
          <t>Main branch</t>
        </is>
      </c>
      <c r="H120" s="4" t="n"/>
      <c r="I120" s="4" t="inlineStr">
        <is>
          <t>Issued to clinic rooms</t>
        </is>
      </c>
      <c r="J120" s="4" t="inlineStr">
        <is>
          <t>Mona Fahad</t>
        </is>
      </c>
    </row>
    <row r="121">
      <c r="A121" s="5" t="n">
        <v>46253</v>
      </c>
      <c r="B121" s="4" t="inlineStr">
        <is>
          <t>INV-004</t>
        </is>
      </c>
      <c r="C121" s="8">
        <f>IF($B121="","",IFERROR(INDEX('Items'!$B$3:$B$202,MATCH($B121,'Items'!$A$3:$A$202,0)),""))</f>
        <v/>
      </c>
      <c r="D121" s="4" t="inlineStr">
        <is>
          <t>L5610</t>
        </is>
      </c>
      <c r="E121" s="4" t="inlineStr">
        <is>
          <t>Out</t>
        </is>
      </c>
      <c r="F121" s="6" t="n">
        <v>5</v>
      </c>
      <c r="G121" s="4" t="inlineStr">
        <is>
          <t>Main branch</t>
        </is>
      </c>
      <c r="H121" s="4" t="n"/>
      <c r="I121" s="4" t="inlineStr">
        <is>
          <t>Issued to clinic rooms</t>
        </is>
      </c>
      <c r="J121" s="4" t="inlineStr">
        <is>
          <t>Mona Fahad</t>
        </is>
      </c>
    </row>
    <row r="122">
      <c r="A122" s="5" t="n">
        <v>46253</v>
      </c>
      <c r="B122" s="4" t="inlineStr">
        <is>
          <t>INV-006</t>
        </is>
      </c>
      <c r="C122" s="8">
        <f>IF($B122="","",IFERROR(INDEX('Items'!$B$3:$B$202,MATCH($B122,'Items'!$A$3:$A$202,0)),""))</f>
        <v/>
      </c>
      <c r="D122" s="4" t="inlineStr">
        <is>
          <t>L5849</t>
        </is>
      </c>
      <c r="E122" s="4" t="inlineStr">
        <is>
          <t>Out</t>
        </is>
      </c>
      <c r="F122" s="6" t="n">
        <v>2</v>
      </c>
      <c r="G122" s="4" t="inlineStr">
        <is>
          <t>Main branch</t>
        </is>
      </c>
      <c r="H122" s="4" t="n"/>
      <c r="I122" s="4" t="inlineStr">
        <is>
          <t>Issued to clinic rooms</t>
        </is>
      </c>
      <c r="J122" s="4" t="inlineStr">
        <is>
          <t>Mona Fahad</t>
        </is>
      </c>
    </row>
    <row r="123">
      <c r="A123" s="5" t="n">
        <v>46253</v>
      </c>
      <c r="B123" s="4" t="inlineStr">
        <is>
          <t>INV-008</t>
        </is>
      </c>
      <c r="C123" s="8">
        <f>IF($B123="","",IFERROR(INDEX('Items'!$B$3:$B$202,MATCH($B123,'Items'!$A$3:$A$202,0)),""))</f>
        <v/>
      </c>
      <c r="D123" s="4" t="inlineStr">
        <is>
          <t>L6138</t>
        </is>
      </c>
      <c r="E123" s="4" t="inlineStr">
        <is>
          <t>Out</t>
        </is>
      </c>
      <c r="F123" s="6" t="n">
        <v>2</v>
      </c>
      <c r="G123" s="4" t="inlineStr">
        <is>
          <t>Main branch</t>
        </is>
      </c>
      <c r="H123" s="4" t="n"/>
      <c r="I123" s="4" t="inlineStr">
        <is>
          <t>Issued to clinic rooms</t>
        </is>
      </c>
      <c r="J123" s="4" t="inlineStr">
        <is>
          <t>Mona Fahad</t>
        </is>
      </c>
    </row>
    <row r="124">
      <c r="A124" s="5" t="n">
        <v>46253</v>
      </c>
      <c r="B124" s="4" t="inlineStr">
        <is>
          <t>INV-010</t>
        </is>
      </c>
      <c r="C124" s="8">
        <f>IF($B124="","",IFERROR(INDEX('Items'!$B$3:$B$202,MATCH($B124,'Items'!$A$3:$A$202,0)),""))</f>
        <v/>
      </c>
      <c r="D124" s="4" t="inlineStr">
        <is>
          <t>L6307</t>
        </is>
      </c>
      <c r="E124" s="4" t="inlineStr">
        <is>
          <t>Out</t>
        </is>
      </c>
      <c r="F124" s="6" t="n">
        <v>1</v>
      </c>
      <c r="G124" s="4" t="inlineStr">
        <is>
          <t>Main branch</t>
        </is>
      </c>
      <c r="H124" s="4" t="n"/>
      <c r="I124" s="4" t="inlineStr">
        <is>
          <t>Issued to clinic rooms</t>
        </is>
      </c>
      <c r="J124" s="4" t="inlineStr">
        <is>
          <t>Fatima Saad</t>
        </is>
      </c>
    </row>
    <row r="125">
      <c r="A125" s="5" t="n">
        <v>46253</v>
      </c>
      <c r="B125" s="4" t="inlineStr">
        <is>
          <t>INV-019</t>
        </is>
      </c>
      <c r="C125" s="8">
        <f>IF($B125="","",IFERROR(INDEX('Items'!$B$3:$B$202,MATCH($B125,'Items'!$A$3:$A$202,0)),""))</f>
        <v/>
      </c>
      <c r="D125" s="4" t="inlineStr">
        <is>
          <t>L7370</t>
        </is>
      </c>
      <c r="E125" s="4" t="inlineStr">
        <is>
          <t>Waste</t>
        </is>
      </c>
      <c r="F125" s="6" t="n">
        <v>1</v>
      </c>
      <c r="G125" s="4" t="inlineStr">
        <is>
          <t>Main branch</t>
        </is>
      </c>
      <c r="H125" s="4" t="n"/>
      <c r="I125" s="4" t="inlineStr">
        <is>
          <t>Damaged tube</t>
        </is>
      </c>
      <c r="J125" s="4" t="inlineStr">
        <is>
          <t>Mona Fahad</t>
        </is>
      </c>
    </row>
    <row r="126">
      <c r="A126" s="5" t="n">
        <v>46253</v>
      </c>
      <c r="B126" s="4" t="inlineStr">
        <is>
          <t>INV-027</t>
        </is>
      </c>
      <c r="C126" s="8">
        <f>IF($B126="","",IFERROR(INDEX('Items'!$B$3:$B$202,MATCH($B126,'Items'!$A$3:$A$202,0)),""))</f>
        <v/>
      </c>
      <c r="D126" s="4" t="inlineStr">
        <is>
          <t>L8544</t>
        </is>
      </c>
      <c r="E126" s="4" t="inlineStr">
        <is>
          <t>Out</t>
        </is>
      </c>
      <c r="F126" s="6" t="n">
        <v>3</v>
      </c>
      <c r="G126" s="4" t="inlineStr">
        <is>
          <t>Main branch</t>
        </is>
      </c>
      <c r="H126" s="4" t="n"/>
      <c r="I126" s="4" t="inlineStr">
        <is>
          <t>Issued to clinic rooms</t>
        </is>
      </c>
      <c r="J126" s="4" t="inlineStr">
        <is>
          <t>Mona Fahad</t>
        </is>
      </c>
    </row>
    <row r="127">
      <c r="A127" s="5" t="n">
        <v>46253</v>
      </c>
      <c r="B127" s="4" t="inlineStr">
        <is>
          <t>INV-041</t>
        </is>
      </c>
      <c r="C127" s="8">
        <f>IF($B127="","",IFERROR(INDEX('Items'!$B$3:$B$202,MATCH($B127,'Items'!$A$3:$A$202,0)),""))</f>
        <v/>
      </c>
      <c r="D127" s="4" t="inlineStr">
        <is>
          <t>L10149</t>
        </is>
      </c>
      <c r="E127" s="4" t="inlineStr">
        <is>
          <t>Out</t>
        </is>
      </c>
      <c r="F127" s="6" t="n">
        <v>1</v>
      </c>
      <c r="G127" s="4" t="inlineStr">
        <is>
          <t>Main branch</t>
        </is>
      </c>
      <c r="H127" s="4" t="n"/>
      <c r="I127" s="4" t="inlineStr">
        <is>
          <t>Issued to clinic rooms</t>
        </is>
      </c>
      <c r="J127" s="4" t="inlineStr">
        <is>
          <t>Reem Abdullah</t>
        </is>
      </c>
    </row>
    <row r="128">
      <c r="A128" s="5" t="n">
        <v>46254</v>
      </c>
      <c r="B128" s="4" t="inlineStr">
        <is>
          <t>INV-001</t>
        </is>
      </c>
      <c r="C128" s="8">
        <f>IF($B128="","",IFERROR(INDEX('Items'!$B$3:$B$202,MATCH($B128,'Items'!$A$3:$A$202,0)),""))</f>
        <v/>
      </c>
      <c r="D128" s="4" t="inlineStr">
        <is>
          <t>L5068</t>
        </is>
      </c>
      <c r="E128" s="4" t="inlineStr">
        <is>
          <t>Out</t>
        </is>
      </c>
      <c r="F128" s="6" t="n">
        <v>7</v>
      </c>
      <c r="G128" s="4" t="inlineStr">
        <is>
          <t>Main branch</t>
        </is>
      </c>
      <c r="H128" s="4" t="n"/>
      <c r="I128" s="4" t="inlineStr">
        <is>
          <t>Issued to clinic rooms</t>
        </is>
      </c>
      <c r="J128" s="4" t="inlineStr">
        <is>
          <t>Fatima Saad</t>
        </is>
      </c>
    </row>
    <row r="129">
      <c r="A129" s="5" t="n">
        <v>46254</v>
      </c>
      <c r="B129" s="4" t="inlineStr">
        <is>
          <t>INV-001</t>
        </is>
      </c>
      <c r="C129" s="8">
        <f>IF($B129="","",IFERROR(INDEX('Items'!$B$3:$B$202,MATCH($B129,'Items'!$A$3:$A$202,0)),""))</f>
        <v/>
      </c>
      <c r="D129" s="4" t="inlineStr">
        <is>
          <t>L10713</t>
        </is>
      </c>
      <c r="E129" s="4" t="inlineStr">
        <is>
          <t>Out</t>
        </is>
      </c>
      <c r="F129" s="6" t="n">
        <v>4</v>
      </c>
      <c r="G129" s="4" t="inlineStr">
        <is>
          <t>North branch</t>
        </is>
      </c>
      <c r="H129" s="4" t="n"/>
      <c r="I129" s="4" t="inlineStr">
        <is>
          <t>Issued to clinic rooms</t>
        </is>
      </c>
      <c r="J129" s="4" t="inlineStr">
        <is>
          <t>Yasmin Ali</t>
        </is>
      </c>
    </row>
    <row r="130">
      <c r="A130" s="5" t="n">
        <v>46254</v>
      </c>
      <c r="B130" s="4" t="inlineStr">
        <is>
          <t>INV-003</t>
        </is>
      </c>
      <c r="C130" s="8">
        <f>IF($B130="","",IFERROR(INDEX('Items'!$B$3:$B$202,MATCH($B130,'Items'!$A$3:$A$202,0)),""))</f>
        <v/>
      </c>
      <c r="D130" s="4" t="inlineStr">
        <is>
          <t>L10883</t>
        </is>
      </c>
      <c r="E130" s="4" t="inlineStr">
        <is>
          <t>Out</t>
        </is>
      </c>
      <c r="F130" s="6" t="n">
        <v>4</v>
      </c>
      <c r="G130" s="4" t="inlineStr">
        <is>
          <t>North branch</t>
        </is>
      </c>
      <c r="H130" s="4" t="n"/>
      <c r="I130" s="4" t="inlineStr">
        <is>
          <t>Issued to clinic rooms</t>
        </is>
      </c>
      <c r="J130" s="4" t="inlineStr">
        <is>
          <t>Yasmin Ali</t>
        </is>
      </c>
    </row>
    <row r="131">
      <c r="A131" s="5" t="n">
        <v>46254</v>
      </c>
      <c r="B131" s="4" t="inlineStr">
        <is>
          <t>INV-011</t>
        </is>
      </c>
      <c r="C131" s="8">
        <f>IF($B131="","",IFERROR(INDEX('Items'!$B$3:$B$202,MATCH($B131,'Items'!$A$3:$A$202,0)),""))</f>
        <v/>
      </c>
      <c r="D131" s="4" t="inlineStr">
        <is>
          <t>L11371</t>
        </is>
      </c>
      <c r="E131" s="4" t="inlineStr">
        <is>
          <t>Out</t>
        </is>
      </c>
      <c r="F131" s="6" t="n">
        <v>3</v>
      </c>
      <c r="G131" s="4" t="inlineStr">
        <is>
          <t>North branch</t>
        </is>
      </c>
      <c r="H131" s="4" t="n"/>
      <c r="I131" s="4" t="inlineStr">
        <is>
          <t>Issued to clinic rooms</t>
        </is>
      </c>
      <c r="J131" s="4" t="inlineStr">
        <is>
          <t>Yasmin Ali</t>
        </is>
      </c>
    </row>
    <row r="132">
      <c r="A132" s="5" t="n">
        <v>46254</v>
      </c>
      <c r="B132" s="4" t="inlineStr">
        <is>
          <t>INV-017</t>
        </is>
      </c>
      <c r="C132" s="8">
        <f>IF($B132="","",IFERROR(INDEX('Items'!$B$3:$B$202,MATCH($B132,'Items'!$A$3:$A$202,0)),""))</f>
        <v/>
      </c>
      <c r="D132" s="4" t="inlineStr">
        <is>
          <t>L7038</t>
        </is>
      </c>
      <c r="E132" s="4" t="inlineStr">
        <is>
          <t>Out</t>
        </is>
      </c>
      <c r="F132" s="6" t="n">
        <v>5</v>
      </c>
      <c r="G132" s="4" t="inlineStr">
        <is>
          <t>Main branch</t>
        </is>
      </c>
      <c r="H132" s="4" t="n"/>
      <c r="I132" s="4" t="inlineStr">
        <is>
          <t>Issued to clinic rooms</t>
        </is>
      </c>
      <c r="J132" s="4" t="inlineStr">
        <is>
          <t>Fatima Saad</t>
        </is>
      </c>
    </row>
    <row r="133">
      <c r="A133" s="5" t="n">
        <v>46254</v>
      </c>
      <c r="B133" s="4" t="inlineStr">
        <is>
          <t>INV-021</t>
        </is>
      </c>
      <c r="C133" s="8">
        <f>IF($B133="","",IFERROR(INDEX('Items'!$B$3:$B$202,MATCH($B133,'Items'!$A$3:$A$202,0)),""))</f>
        <v/>
      </c>
      <c r="D133" s="4" t="inlineStr">
        <is>
          <t>L7661</t>
        </is>
      </c>
      <c r="E133" s="4" t="inlineStr">
        <is>
          <t>Out</t>
        </is>
      </c>
      <c r="F133" s="6" t="n">
        <v>2</v>
      </c>
      <c r="G133" s="4" t="inlineStr">
        <is>
          <t>Main branch</t>
        </is>
      </c>
      <c r="H133" s="4" t="n"/>
      <c r="I133" s="4" t="inlineStr">
        <is>
          <t>Issued to clinic rooms</t>
        </is>
      </c>
      <c r="J133" s="4" t="inlineStr">
        <is>
          <t>Fatima Saad</t>
        </is>
      </c>
    </row>
    <row r="134">
      <c r="A134" s="5" t="n">
        <v>46254</v>
      </c>
      <c r="B134" s="4" t="inlineStr">
        <is>
          <t>INV-023</t>
        </is>
      </c>
      <c r="C134" s="8">
        <f>IF($B134="","",IFERROR(INDEX('Items'!$B$3:$B$202,MATCH($B134,'Items'!$A$3:$A$202,0)),""))</f>
        <v/>
      </c>
      <c r="D134" s="4" t="inlineStr">
        <is>
          <t>L7993</t>
        </is>
      </c>
      <c r="E134" s="4" t="inlineStr">
        <is>
          <t>Out</t>
        </is>
      </c>
      <c r="F134" s="6" t="n">
        <v>5</v>
      </c>
      <c r="G134" s="4" t="inlineStr">
        <is>
          <t>Main branch</t>
        </is>
      </c>
      <c r="H134" s="4" t="n"/>
      <c r="I134" s="4" t="inlineStr">
        <is>
          <t>Issued to clinic rooms</t>
        </is>
      </c>
      <c r="J134" s="4" t="inlineStr">
        <is>
          <t>Mona Fahad</t>
        </is>
      </c>
    </row>
    <row r="135">
      <c r="A135" s="5" t="n">
        <v>46254</v>
      </c>
      <c r="B135" s="4" t="inlineStr">
        <is>
          <t>INV-026</t>
        </is>
      </c>
      <c r="C135" s="8">
        <f>IF($B135="","",IFERROR(INDEX('Items'!$B$3:$B$202,MATCH($B135,'Items'!$A$3:$A$202,0)),""))</f>
        <v/>
      </c>
      <c r="D135" s="4" t="inlineStr">
        <is>
          <t>L8443</t>
        </is>
      </c>
      <c r="E135" s="4" t="inlineStr">
        <is>
          <t>Out</t>
        </is>
      </c>
      <c r="F135" s="6" t="n">
        <v>2</v>
      </c>
      <c r="G135" s="4" t="inlineStr">
        <is>
          <t>Main branch</t>
        </is>
      </c>
      <c r="H135" s="4" t="n"/>
      <c r="I135" s="4" t="inlineStr">
        <is>
          <t>Issued to clinic rooms</t>
        </is>
      </c>
      <c r="J135" s="4" t="inlineStr">
        <is>
          <t>Fatima Saad</t>
        </is>
      </c>
    </row>
    <row r="136">
      <c r="A136" s="5" t="n">
        <v>46254</v>
      </c>
      <c r="B136" s="4" t="inlineStr">
        <is>
          <t>INV-033</t>
        </is>
      </c>
      <c r="C136" s="8">
        <f>IF($B136="","",IFERROR(INDEX('Items'!$B$3:$B$202,MATCH($B136,'Items'!$A$3:$A$202,0)),""))</f>
        <v/>
      </c>
      <c r="D136" s="4" t="inlineStr">
        <is>
          <t>L11793</t>
        </is>
      </c>
      <c r="E136" s="4" t="inlineStr">
        <is>
          <t>Out</t>
        </is>
      </c>
      <c r="F136" s="6" t="n">
        <v>2</v>
      </c>
      <c r="G136" s="4" t="inlineStr">
        <is>
          <t>North branch</t>
        </is>
      </c>
      <c r="H136" s="4" t="n"/>
      <c r="I136" s="4" t="inlineStr">
        <is>
          <t>Issued to clinic rooms</t>
        </is>
      </c>
      <c r="J136" s="4" t="inlineStr">
        <is>
          <t>Yasmin Ali</t>
        </is>
      </c>
    </row>
    <row r="137">
      <c r="A137" s="5" t="n">
        <v>46254</v>
      </c>
      <c r="B137" s="4" t="inlineStr">
        <is>
          <t>INV-043</t>
        </is>
      </c>
      <c r="C137" s="8">
        <f>IF($B137="","",IFERROR(INDEX('Items'!$B$3:$B$202,MATCH($B137,'Items'!$A$3:$A$202,0)),""))</f>
        <v/>
      </c>
      <c r="D137" s="4" t="inlineStr">
        <is>
          <t>L10382</t>
        </is>
      </c>
      <c r="E137" s="4" t="inlineStr">
        <is>
          <t>Out</t>
        </is>
      </c>
      <c r="F137" s="6" t="n">
        <v>2</v>
      </c>
      <c r="G137" s="4" t="inlineStr">
        <is>
          <t>Main branch</t>
        </is>
      </c>
      <c r="H137" s="4" t="n"/>
      <c r="I137" s="4" t="inlineStr">
        <is>
          <t>Issued to clinic rooms</t>
        </is>
      </c>
      <c r="J137" s="4" t="inlineStr">
        <is>
          <t>Reem Abdullah</t>
        </is>
      </c>
    </row>
    <row r="138">
      <c r="A138" s="5" t="n">
        <v>46257</v>
      </c>
      <c r="B138" s="4" t="inlineStr">
        <is>
          <t>INV-004</t>
        </is>
      </c>
      <c r="C138" s="8">
        <f>IF($B138="","",IFERROR(INDEX('Items'!$B$3:$B$202,MATCH($B138,'Items'!$A$3:$A$202,0)),""))</f>
        <v/>
      </c>
      <c r="D138" s="4" t="inlineStr">
        <is>
          <t>L11058</t>
        </is>
      </c>
      <c r="E138" s="4" t="inlineStr">
        <is>
          <t>Out</t>
        </is>
      </c>
      <c r="F138" s="6" t="n">
        <v>3</v>
      </c>
      <c r="G138" s="4" t="inlineStr">
        <is>
          <t>North branch</t>
        </is>
      </c>
      <c r="H138" s="4" t="n"/>
      <c r="I138" s="4" t="inlineStr">
        <is>
          <t>Issued to clinic rooms</t>
        </is>
      </c>
      <c r="J138" s="4" t="inlineStr">
        <is>
          <t>Yasmin Ali</t>
        </is>
      </c>
    </row>
    <row r="139">
      <c r="A139" s="5" t="n">
        <v>46257</v>
      </c>
      <c r="B139" s="4" t="inlineStr">
        <is>
          <t>INV-014</t>
        </is>
      </c>
      <c r="C139" s="8">
        <f>IF($B139="","",IFERROR(INDEX('Items'!$B$3:$B$202,MATCH($B139,'Items'!$A$3:$A$202,0)),""))</f>
        <v/>
      </c>
      <c r="D139" s="4" t="inlineStr">
        <is>
          <t>L6777</t>
        </is>
      </c>
      <c r="E139" s="4" t="inlineStr">
        <is>
          <t>Out</t>
        </is>
      </c>
      <c r="F139" s="6" t="n">
        <v>2</v>
      </c>
      <c r="G139" s="4" t="inlineStr">
        <is>
          <t>Main branch</t>
        </is>
      </c>
      <c r="H139" s="4" t="n"/>
      <c r="I139" s="4" t="inlineStr">
        <is>
          <t>Issued to clinic rooms</t>
        </is>
      </c>
      <c r="J139" s="4" t="inlineStr">
        <is>
          <t>Mona Fahad</t>
        </is>
      </c>
    </row>
    <row r="140">
      <c r="A140" s="5" t="n">
        <v>46257</v>
      </c>
      <c r="B140" s="4" t="inlineStr">
        <is>
          <t>INV-020</t>
        </is>
      </c>
      <c r="C140" s="8">
        <f>IF($B140="","",IFERROR(INDEX('Items'!$B$3:$B$202,MATCH($B140,'Items'!$A$3:$A$202,0)),""))</f>
        <v/>
      </c>
      <c r="D140" s="4" t="inlineStr">
        <is>
          <t>L7519</t>
        </is>
      </c>
      <c r="E140" s="4" t="inlineStr">
        <is>
          <t>Out</t>
        </is>
      </c>
      <c r="F140" s="6" t="n">
        <v>1</v>
      </c>
      <c r="G140" s="4" t="inlineStr">
        <is>
          <t>Main branch</t>
        </is>
      </c>
      <c r="H140" s="4" t="n"/>
      <c r="I140" s="4" t="inlineStr">
        <is>
          <t>Issued to clinic rooms</t>
        </is>
      </c>
      <c r="J140" s="4" t="inlineStr">
        <is>
          <t>Mona Fahad</t>
        </is>
      </c>
    </row>
    <row r="141">
      <c r="A141" s="5" t="n">
        <v>46257</v>
      </c>
      <c r="B141" s="4" t="inlineStr">
        <is>
          <t>INV-024</t>
        </is>
      </c>
      <c r="C141" s="8">
        <f>IF($B141="","",IFERROR(INDEX('Items'!$B$3:$B$202,MATCH($B141,'Items'!$A$3:$A$202,0)),""))</f>
        <v/>
      </c>
      <c r="D141" s="4" t="inlineStr">
        <is>
          <t>L8155</t>
        </is>
      </c>
      <c r="E141" s="4" t="inlineStr">
        <is>
          <t>Out</t>
        </is>
      </c>
      <c r="F141" s="6" t="n">
        <v>3</v>
      </c>
      <c r="G141" s="4" t="inlineStr">
        <is>
          <t>Main branch</t>
        </is>
      </c>
      <c r="H141" s="4" t="n"/>
      <c r="I141" s="4" t="inlineStr">
        <is>
          <t>Issued to clinic rooms</t>
        </is>
      </c>
      <c r="J141" s="4" t="inlineStr">
        <is>
          <t>Mona Fahad</t>
        </is>
      </c>
    </row>
    <row r="142">
      <c r="A142" s="5" t="n">
        <v>46257</v>
      </c>
      <c r="B142" s="4" t="inlineStr">
        <is>
          <t>INV-026</t>
        </is>
      </c>
      <c r="C142" s="8">
        <f>IF($B142="","",IFERROR(INDEX('Items'!$B$3:$B$202,MATCH($B142,'Items'!$A$3:$A$202,0)),""))</f>
        <v/>
      </c>
      <c r="D142" s="4" t="inlineStr">
        <is>
          <t>L8443</t>
        </is>
      </c>
      <c r="E142" s="4" t="inlineStr">
        <is>
          <t>Out</t>
        </is>
      </c>
      <c r="F142" s="6" t="n">
        <v>2</v>
      </c>
      <c r="G142" s="4" t="inlineStr">
        <is>
          <t>Main branch</t>
        </is>
      </c>
      <c r="H142" s="4" t="n"/>
      <c r="I142" s="4" t="inlineStr">
        <is>
          <t>Issued to clinic rooms</t>
        </is>
      </c>
      <c r="J142" s="4" t="inlineStr">
        <is>
          <t>Mona Fahad</t>
        </is>
      </c>
    </row>
    <row r="143">
      <c r="A143" s="5" t="n">
        <v>46257</v>
      </c>
      <c r="B143" s="4" t="inlineStr">
        <is>
          <t>INV-029</t>
        </is>
      </c>
      <c r="C143" s="8">
        <f>IF($B143="","",IFERROR(INDEX('Items'!$B$3:$B$202,MATCH($B143,'Items'!$A$3:$A$202,0)),""))</f>
        <v/>
      </c>
      <c r="D143" s="4" t="inlineStr">
        <is>
          <t>L8800</t>
        </is>
      </c>
      <c r="E143" s="4" t="inlineStr">
        <is>
          <t>Out</t>
        </is>
      </c>
      <c r="F143" s="6" t="n">
        <v>2</v>
      </c>
      <c r="G143" s="4" t="inlineStr">
        <is>
          <t>Main branch</t>
        </is>
      </c>
      <c r="H143" s="4" t="n"/>
      <c r="I143" s="4" t="inlineStr">
        <is>
          <t>Issued to clinic rooms</t>
        </is>
      </c>
      <c r="J143" s="4" t="inlineStr">
        <is>
          <t>Mona Fahad</t>
        </is>
      </c>
    </row>
    <row r="144">
      <c r="A144" s="5" t="n">
        <v>46258</v>
      </c>
      <c r="B144" s="4" t="inlineStr">
        <is>
          <t>INV-012</t>
        </is>
      </c>
      <c r="C144" s="8">
        <f>IF($B144="","",IFERROR(INDEX('Items'!$B$3:$B$202,MATCH($B144,'Items'!$A$3:$A$202,0)),""))</f>
        <v/>
      </c>
      <c r="D144" s="4" t="inlineStr">
        <is>
          <t>L6568</t>
        </is>
      </c>
      <c r="E144" s="4" t="inlineStr">
        <is>
          <t>Out</t>
        </is>
      </c>
      <c r="F144" s="6" t="n">
        <v>6</v>
      </c>
      <c r="G144" s="4" t="inlineStr">
        <is>
          <t>Main branch</t>
        </is>
      </c>
      <c r="H144" s="4" t="n"/>
      <c r="I144" s="4" t="inlineStr">
        <is>
          <t>Issued to clinic rooms</t>
        </is>
      </c>
      <c r="J144" s="4" t="inlineStr">
        <is>
          <t>Fatima Saad</t>
        </is>
      </c>
    </row>
    <row r="145">
      <c r="A145" s="5" t="n">
        <v>46258</v>
      </c>
      <c r="B145" s="4" t="inlineStr">
        <is>
          <t>INV-015</t>
        </is>
      </c>
      <c r="C145" s="8">
        <f>IF($B145="","",IFERROR(INDEX('Items'!$B$3:$B$202,MATCH($B145,'Items'!$A$3:$A$202,0)),""))</f>
        <v/>
      </c>
      <c r="D145" s="4" t="inlineStr">
        <is>
          <t>L6900</t>
        </is>
      </c>
      <c r="E145" s="4" t="inlineStr">
        <is>
          <t>Out</t>
        </is>
      </c>
      <c r="F145" s="6" t="n">
        <v>1</v>
      </c>
      <c r="G145" s="4" t="inlineStr">
        <is>
          <t>Main branch</t>
        </is>
      </c>
      <c r="H145" s="4" t="n"/>
      <c r="I145" s="4" t="inlineStr">
        <is>
          <t>Issued to clinic rooms</t>
        </is>
      </c>
      <c r="J145" s="4" t="inlineStr">
        <is>
          <t>Mona Fahad</t>
        </is>
      </c>
    </row>
    <row r="146">
      <c r="A146" s="5" t="n">
        <v>46258</v>
      </c>
      <c r="B146" s="4" t="inlineStr">
        <is>
          <t>INV-018</t>
        </is>
      </c>
      <c r="C146" s="8">
        <f>IF($B146="","",IFERROR(INDEX('Items'!$B$3:$B$202,MATCH($B146,'Items'!$A$3:$A$202,0)),""))</f>
        <v/>
      </c>
      <c r="D146" s="4" t="inlineStr">
        <is>
          <t>L7150</t>
        </is>
      </c>
      <c r="E146" s="4" t="inlineStr">
        <is>
          <t>Out</t>
        </is>
      </c>
      <c r="F146" s="6" t="n">
        <v>1</v>
      </c>
      <c r="G146" s="4" t="inlineStr">
        <is>
          <t>Main branch</t>
        </is>
      </c>
      <c r="H146" s="4" t="n"/>
      <c r="I146" s="4" t="inlineStr">
        <is>
          <t>Issued to clinic rooms</t>
        </is>
      </c>
      <c r="J146" s="4" t="inlineStr">
        <is>
          <t>Fatima Saad</t>
        </is>
      </c>
    </row>
    <row r="147">
      <c r="A147" s="5" t="n">
        <v>46258</v>
      </c>
      <c r="B147" s="4" t="inlineStr">
        <is>
          <t>INV-021</t>
        </is>
      </c>
      <c r="C147" s="8">
        <f>IF($B147="","",IFERROR(INDEX('Items'!$B$3:$B$202,MATCH($B147,'Items'!$A$3:$A$202,0)),""))</f>
        <v/>
      </c>
      <c r="D147" s="4" t="inlineStr">
        <is>
          <t>L7661</t>
        </is>
      </c>
      <c r="E147" s="4" t="inlineStr">
        <is>
          <t>Out</t>
        </is>
      </c>
      <c r="F147" s="6" t="n">
        <v>2</v>
      </c>
      <c r="G147" s="4" t="inlineStr">
        <is>
          <t>Main branch</t>
        </is>
      </c>
      <c r="H147" s="4" t="n"/>
      <c r="I147" s="4" t="inlineStr">
        <is>
          <t>Issued to clinic rooms</t>
        </is>
      </c>
      <c r="J147" s="4" t="inlineStr">
        <is>
          <t>Mona Fahad</t>
        </is>
      </c>
    </row>
    <row r="148">
      <c r="A148" s="5" t="n">
        <v>46258</v>
      </c>
      <c r="B148" s="4" t="inlineStr">
        <is>
          <t>INV-023</t>
        </is>
      </c>
      <c r="C148" s="8">
        <f>IF($B148="","",IFERROR(INDEX('Items'!$B$3:$B$202,MATCH($B148,'Items'!$A$3:$A$202,0)),""))</f>
        <v/>
      </c>
      <c r="D148" s="4" t="inlineStr">
        <is>
          <t>L7993</t>
        </is>
      </c>
      <c r="E148" s="4" t="inlineStr">
        <is>
          <t>Out</t>
        </is>
      </c>
      <c r="F148" s="6" t="n">
        <v>3</v>
      </c>
      <c r="G148" s="4" t="inlineStr">
        <is>
          <t>Main branch</t>
        </is>
      </c>
      <c r="H148" s="4" t="n"/>
      <c r="I148" s="4" t="inlineStr">
        <is>
          <t>Issued to clinic rooms</t>
        </is>
      </c>
      <c r="J148" s="4" t="inlineStr">
        <is>
          <t>Mona Fahad</t>
        </is>
      </c>
    </row>
    <row r="149">
      <c r="A149" s="5" t="n">
        <v>46258</v>
      </c>
      <c r="B149" s="4" t="inlineStr">
        <is>
          <t>INV-033</t>
        </is>
      </c>
      <c r="C149" s="8">
        <f>IF($B149="","",IFERROR(INDEX('Items'!$B$3:$B$202,MATCH($B149,'Items'!$A$3:$A$202,0)),""))</f>
        <v/>
      </c>
      <c r="D149" s="4" t="inlineStr">
        <is>
          <t>L9098</t>
        </is>
      </c>
      <c r="E149" s="4" t="inlineStr">
        <is>
          <t>Out</t>
        </is>
      </c>
      <c r="F149" s="6" t="n">
        <v>2</v>
      </c>
      <c r="G149" s="4" t="inlineStr">
        <is>
          <t>Main branch</t>
        </is>
      </c>
      <c r="H149" s="4" t="n"/>
      <c r="I149" s="4" t="inlineStr">
        <is>
          <t>Issued to clinic rooms</t>
        </is>
      </c>
      <c r="J149" s="4" t="inlineStr">
        <is>
          <t>Reem Abdullah</t>
        </is>
      </c>
    </row>
    <row r="150">
      <c r="A150" s="5" t="n">
        <v>46258</v>
      </c>
      <c r="B150" s="4" t="inlineStr">
        <is>
          <t>INV-036</t>
        </is>
      </c>
      <c r="C150" s="8">
        <f>IF($B150="","",IFERROR(INDEX('Items'!$B$3:$B$202,MATCH($B150,'Items'!$A$3:$A$202,0)),""))</f>
        <v/>
      </c>
      <c r="D150" s="4" t="inlineStr">
        <is>
          <t>L9419</t>
        </is>
      </c>
      <c r="E150" s="4" t="inlineStr">
        <is>
          <t>Out</t>
        </is>
      </c>
      <c r="F150" s="6" t="n">
        <v>1</v>
      </c>
      <c r="G150" s="4" t="inlineStr">
        <is>
          <t>Main branch</t>
        </is>
      </c>
      <c r="H150" s="4" t="n"/>
      <c r="I150" s="4" t="inlineStr">
        <is>
          <t>Issued to clinic rooms</t>
        </is>
      </c>
      <c r="J150" s="4" t="inlineStr">
        <is>
          <t>Omar Hassan</t>
        </is>
      </c>
    </row>
    <row r="151">
      <c r="A151" s="5" t="n">
        <v>46258</v>
      </c>
      <c r="B151" s="4" t="inlineStr">
        <is>
          <t>INV-037</t>
        </is>
      </c>
      <c r="C151" s="8">
        <f>IF($B151="","",IFERROR(INDEX('Items'!$B$3:$B$202,MATCH($B151,'Items'!$A$3:$A$202,0)),""))</f>
        <v/>
      </c>
      <c r="D151" s="4" t="inlineStr">
        <is>
          <t>L9620</t>
        </is>
      </c>
      <c r="E151" s="4" t="inlineStr">
        <is>
          <t>In</t>
        </is>
      </c>
      <c r="F151" s="6" t="n">
        <v>2</v>
      </c>
      <c r="G151" s="4" t="n"/>
      <c r="H151" s="4" t="inlineStr">
        <is>
          <t>Main branch</t>
        </is>
      </c>
      <c r="I151" s="4" t="inlineStr">
        <is>
          <t>Count correction</t>
        </is>
      </c>
      <c r="J151" s="4" t="inlineStr">
        <is>
          <t>Reem Abdullah</t>
        </is>
      </c>
    </row>
    <row r="152">
      <c r="A152" s="5" t="n">
        <v>46258</v>
      </c>
      <c r="B152" s="4" t="inlineStr">
        <is>
          <t>INV-044</t>
        </is>
      </c>
      <c r="C152" s="8">
        <f>IF($B152="","",IFERROR(INDEX('Items'!$B$3:$B$202,MATCH($B152,'Items'!$A$3:$A$202,0)),""))</f>
        <v/>
      </c>
      <c r="D152" s="4" t="inlineStr">
        <is>
          <t>L10478</t>
        </is>
      </c>
      <c r="E152" s="4" t="inlineStr">
        <is>
          <t>Out</t>
        </is>
      </c>
      <c r="F152" s="6" t="n">
        <v>1</v>
      </c>
      <c r="G152" s="4" t="inlineStr">
        <is>
          <t>Main branch</t>
        </is>
      </c>
      <c r="H152" s="4" t="n"/>
      <c r="I152" s="4" t="inlineStr">
        <is>
          <t>Issued to clinic rooms</t>
        </is>
      </c>
      <c r="J152" s="4" t="inlineStr">
        <is>
          <t>Omar Hassan</t>
        </is>
      </c>
    </row>
    <row r="153">
      <c r="A153" s="5" t="n">
        <v>46259</v>
      </c>
      <c r="B153" s="4" t="inlineStr">
        <is>
          <t>INV-005</t>
        </is>
      </c>
      <c r="C153" s="8">
        <f>IF($B153="","",IFERROR(INDEX('Items'!$B$3:$B$202,MATCH($B153,'Items'!$A$3:$A$202,0)),""))</f>
        <v/>
      </c>
      <c r="D153" s="4" t="inlineStr">
        <is>
          <t>L5721</t>
        </is>
      </c>
      <c r="E153" s="4" t="inlineStr">
        <is>
          <t>Out</t>
        </is>
      </c>
      <c r="F153" s="6" t="n">
        <v>3</v>
      </c>
      <c r="G153" s="4" t="inlineStr">
        <is>
          <t>Main branch</t>
        </is>
      </c>
      <c r="H153" s="4" t="n"/>
      <c r="I153" s="4" t="inlineStr">
        <is>
          <t>Issued to clinic rooms</t>
        </is>
      </c>
      <c r="J153" s="4" t="inlineStr">
        <is>
          <t>Fatima Saad</t>
        </is>
      </c>
    </row>
    <row r="154">
      <c r="A154" s="5" t="n">
        <v>46259</v>
      </c>
      <c r="B154" s="4" t="inlineStr">
        <is>
          <t>INV-012</t>
        </is>
      </c>
      <c r="C154" s="8">
        <f>IF($B154="","",IFERROR(INDEX('Items'!$B$3:$B$202,MATCH($B154,'Items'!$A$3:$A$202,0)),""))</f>
        <v/>
      </c>
      <c r="D154" s="4" t="inlineStr">
        <is>
          <t>L11506</t>
        </is>
      </c>
      <c r="E154" s="4" t="inlineStr">
        <is>
          <t>Out</t>
        </is>
      </c>
      <c r="F154" s="6" t="n">
        <v>2</v>
      </c>
      <c r="G154" s="4" t="inlineStr">
        <is>
          <t>North branch</t>
        </is>
      </c>
      <c r="H154" s="4" t="n"/>
      <c r="I154" s="4" t="inlineStr">
        <is>
          <t>Issued to clinic rooms</t>
        </is>
      </c>
      <c r="J154" s="4" t="inlineStr">
        <is>
          <t>Yasmin Ali</t>
        </is>
      </c>
    </row>
    <row r="155">
      <c r="A155" s="5" t="n">
        <v>46259</v>
      </c>
      <c r="B155" s="4" t="inlineStr">
        <is>
          <t>INV-013</t>
        </is>
      </c>
      <c r="C155" s="8">
        <f>IF($B155="","",IFERROR(INDEX('Items'!$B$3:$B$202,MATCH($B155,'Items'!$A$3:$A$202,0)),""))</f>
        <v/>
      </c>
      <c r="D155" s="4" t="inlineStr">
        <is>
          <t>L6719</t>
        </is>
      </c>
      <c r="E155" s="4" t="inlineStr">
        <is>
          <t>Out</t>
        </is>
      </c>
      <c r="F155" s="6" t="n">
        <v>4</v>
      </c>
      <c r="G155" s="4" t="inlineStr">
        <is>
          <t>Main branch</t>
        </is>
      </c>
      <c r="H155" s="4" t="n"/>
      <c r="I155" s="4" t="inlineStr">
        <is>
          <t>Issued to clinic rooms</t>
        </is>
      </c>
      <c r="J155" s="4" t="inlineStr">
        <is>
          <t>Fatima Saad</t>
        </is>
      </c>
    </row>
    <row r="156">
      <c r="A156" s="5" t="n">
        <v>46259</v>
      </c>
      <c r="B156" s="4" t="inlineStr">
        <is>
          <t>INV-017</t>
        </is>
      </c>
      <c r="C156" s="8">
        <f>IF($B156="","",IFERROR(INDEX('Items'!$B$3:$B$202,MATCH($B156,'Items'!$A$3:$A$202,0)),""))</f>
        <v/>
      </c>
      <c r="D156" s="4" t="inlineStr">
        <is>
          <t>L7038</t>
        </is>
      </c>
      <c r="E156" s="4" t="inlineStr">
        <is>
          <t>Out</t>
        </is>
      </c>
      <c r="F156" s="6" t="n">
        <v>5</v>
      </c>
      <c r="G156" s="4" t="inlineStr">
        <is>
          <t>Main branch</t>
        </is>
      </c>
      <c r="H156" s="4" t="n"/>
      <c r="I156" s="4" t="inlineStr">
        <is>
          <t>Issued to clinic rooms</t>
        </is>
      </c>
      <c r="J156" s="4" t="inlineStr">
        <is>
          <t>Mona Fahad</t>
        </is>
      </c>
    </row>
    <row r="157">
      <c r="A157" s="5" t="n">
        <v>46259</v>
      </c>
      <c r="B157" s="4" t="inlineStr">
        <is>
          <t>INV-022</t>
        </is>
      </c>
      <c r="C157" s="8">
        <f>IF($B157="","",IFERROR(INDEX('Items'!$B$3:$B$202,MATCH($B157,'Items'!$A$3:$A$202,0)),""))</f>
        <v/>
      </c>
      <c r="D157" s="4" t="inlineStr">
        <is>
          <t>L7821</t>
        </is>
      </c>
      <c r="E157" s="4" t="inlineStr">
        <is>
          <t>Out</t>
        </is>
      </c>
      <c r="F157" s="6" t="n">
        <v>2</v>
      </c>
      <c r="G157" s="4" t="inlineStr">
        <is>
          <t>Main branch</t>
        </is>
      </c>
      <c r="H157" s="4" t="n"/>
      <c r="I157" s="4" t="inlineStr">
        <is>
          <t>Issued to clinic rooms</t>
        </is>
      </c>
      <c r="J157" s="4" t="inlineStr">
        <is>
          <t>Mona Fahad</t>
        </is>
      </c>
    </row>
    <row r="158">
      <c r="A158" s="5" t="n">
        <v>46259</v>
      </c>
      <c r="B158" s="4" t="inlineStr">
        <is>
          <t>INV-033</t>
        </is>
      </c>
      <c r="C158" s="8">
        <f>IF($B158="","",IFERROR(INDEX('Items'!$B$3:$B$202,MATCH($B158,'Items'!$A$3:$A$202,0)),""))</f>
        <v/>
      </c>
      <c r="D158" s="4" t="inlineStr">
        <is>
          <t>L11793</t>
        </is>
      </c>
      <c r="E158" s="4" t="inlineStr">
        <is>
          <t>Out</t>
        </is>
      </c>
      <c r="F158" s="6" t="n">
        <v>2</v>
      </c>
      <c r="G158" s="4" t="inlineStr">
        <is>
          <t>North branch</t>
        </is>
      </c>
      <c r="H158" s="4" t="n"/>
      <c r="I158" s="4" t="inlineStr">
        <is>
          <t>Issued to clinic rooms</t>
        </is>
      </c>
      <c r="J158" s="4" t="inlineStr">
        <is>
          <t>Yasmin Ali</t>
        </is>
      </c>
    </row>
    <row r="159">
      <c r="A159" s="5" t="n">
        <v>46259</v>
      </c>
      <c r="B159" s="4" t="inlineStr">
        <is>
          <t>INV-040</t>
        </is>
      </c>
      <c r="C159" s="8">
        <f>IF($B159="","",IFERROR(INDEX('Items'!$B$3:$B$202,MATCH($B159,'Items'!$A$3:$A$202,0)),""))</f>
        <v/>
      </c>
      <c r="D159" s="4" t="inlineStr">
        <is>
          <t>L9977</t>
        </is>
      </c>
      <c r="E159" s="4" t="inlineStr">
        <is>
          <t>Out</t>
        </is>
      </c>
      <c r="F159" s="6" t="n">
        <v>1</v>
      </c>
      <c r="G159" s="4" t="inlineStr">
        <is>
          <t>Main branch</t>
        </is>
      </c>
      <c r="H159" s="4" t="n"/>
      <c r="I159" s="4" t="inlineStr">
        <is>
          <t>Issued to clinic rooms</t>
        </is>
      </c>
      <c r="J159" s="4" t="inlineStr">
        <is>
          <t>Omar Hassan</t>
        </is>
      </c>
    </row>
    <row r="160">
      <c r="A160" s="5" t="n">
        <v>46259</v>
      </c>
      <c r="B160" s="4" t="inlineStr">
        <is>
          <t>INV-043</t>
        </is>
      </c>
      <c r="C160" s="8">
        <f>IF($B160="","",IFERROR(INDEX('Items'!$B$3:$B$202,MATCH($B160,'Items'!$A$3:$A$202,0)),""))</f>
        <v/>
      </c>
      <c r="D160" s="4" t="inlineStr">
        <is>
          <t>L10382</t>
        </is>
      </c>
      <c r="E160" s="4" t="inlineStr">
        <is>
          <t>Out</t>
        </is>
      </c>
      <c r="F160" s="6" t="n">
        <v>1</v>
      </c>
      <c r="G160" s="4" t="inlineStr">
        <is>
          <t>Main branch</t>
        </is>
      </c>
      <c r="H160" s="4" t="n"/>
      <c r="I160" s="4" t="inlineStr">
        <is>
          <t>Issued to clinic rooms</t>
        </is>
      </c>
      <c r="J160" s="4" t="inlineStr">
        <is>
          <t>Omar Hassan</t>
        </is>
      </c>
    </row>
    <row r="161">
      <c r="A161" s="5" t="n">
        <v>46260</v>
      </c>
      <c r="B161" s="4" t="inlineStr">
        <is>
          <t>INV-001</t>
        </is>
      </c>
      <c r="C161" s="8">
        <f>IF($B161="","",IFERROR(INDEX('Items'!$B$3:$B$202,MATCH($B161,'Items'!$A$3:$A$202,0)),""))</f>
        <v/>
      </c>
      <c r="D161" s="4" t="inlineStr">
        <is>
          <t>L5068</t>
        </is>
      </c>
      <c r="E161" s="4" t="inlineStr">
        <is>
          <t>Out</t>
        </is>
      </c>
      <c r="F161" s="6" t="n">
        <v>6</v>
      </c>
      <c r="G161" s="4" t="inlineStr">
        <is>
          <t>Main branch</t>
        </is>
      </c>
      <c r="H161" s="4" t="n"/>
      <c r="I161" s="4" t="inlineStr">
        <is>
          <t>Issued to clinic rooms</t>
        </is>
      </c>
      <c r="J161" s="4" t="inlineStr">
        <is>
          <t>Fatima Saad</t>
        </is>
      </c>
    </row>
    <row r="162">
      <c r="A162" s="5" t="n">
        <v>46260</v>
      </c>
      <c r="B162" s="4" t="inlineStr">
        <is>
          <t>INV-001</t>
        </is>
      </c>
      <c r="C162" s="8">
        <f>IF($B162="","",IFERROR(INDEX('Items'!$B$3:$B$202,MATCH($B162,'Items'!$A$3:$A$202,0)),""))</f>
        <v/>
      </c>
      <c r="D162" s="4" t="inlineStr">
        <is>
          <t>L10713</t>
        </is>
      </c>
      <c r="E162" s="4" t="inlineStr">
        <is>
          <t>Out</t>
        </is>
      </c>
      <c r="F162" s="6" t="n">
        <v>3</v>
      </c>
      <c r="G162" s="4" t="inlineStr">
        <is>
          <t>North branch</t>
        </is>
      </c>
      <c r="H162" s="4" t="n"/>
      <c r="I162" s="4" t="inlineStr">
        <is>
          <t>Issued to clinic rooms</t>
        </is>
      </c>
      <c r="J162" s="4" t="inlineStr">
        <is>
          <t>Yasmin Ali</t>
        </is>
      </c>
    </row>
    <row r="163">
      <c r="A163" s="5" t="n">
        <v>46260</v>
      </c>
      <c r="B163" s="4" t="inlineStr">
        <is>
          <t>INV-002</t>
        </is>
      </c>
      <c r="C163" s="8">
        <f>IF($B163="","",IFERROR(INDEX('Items'!$B$3:$B$202,MATCH($B163,'Items'!$A$3:$A$202,0)),""))</f>
        <v/>
      </c>
      <c r="D163" s="4" t="inlineStr">
        <is>
          <t>L5216</t>
        </is>
      </c>
      <c r="E163" s="4" t="inlineStr">
        <is>
          <t>Out</t>
        </is>
      </c>
      <c r="F163" s="6" t="n">
        <v>5</v>
      </c>
      <c r="G163" s="4" t="inlineStr">
        <is>
          <t>Main branch</t>
        </is>
      </c>
      <c r="H163" s="4" t="n"/>
      <c r="I163" s="4" t="inlineStr">
        <is>
          <t>Issued to clinic rooms</t>
        </is>
      </c>
      <c r="J163" s="4" t="inlineStr">
        <is>
          <t>Mona Fahad</t>
        </is>
      </c>
    </row>
    <row r="164">
      <c r="A164" s="5" t="n">
        <v>46260</v>
      </c>
      <c r="B164" s="4" t="inlineStr">
        <is>
          <t>INV-003</t>
        </is>
      </c>
      <c r="C164" s="8">
        <f>IF($B164="","",IFERROR(INDEX('Items'!$B$3:$B$202,MATCH($B164,'Items'!$A$3:$A$202,0)),""))</f>
        <v/>
      </c>
      <c r="D164" s="4" t="inlineStr">
        <is>
          <t>L5441</t>
        </is>
      </c>
      <c r="E164" s="4" t="inlineStr">
        <is>
          <t>Out</t>
        </is>
      </c>
      <c r="F164" s="6" t="n">
        <v>4</v>
      </c>
      <c r="G164" s="4" t="inlineStr">
        <is>
          <t>Main branch</t>
        </is>
      </c>
      <c r="H164" s="4" t="n"/>
      <c r="I164" s="4" t="inlineStr">
        <is>
          <t>Issued to clinic rooms</t>
        </is>
      </c>
      <c r="J164" s="4" t="inlineStr">
        <is>
          <t>Fatima Saad</t>
        </is>
      </c>
    </row>
    <row r="165">
      <c r="A165" s="5" t="n">
        <v>46260</v>
      </c>
      <c r="B165" s="4" t="inlineStr">
        <is>
          <t>INV-003</t>
        </is>
      </c>
      <c r="C165" s="8">
        <f>IF($B165="","",IFERROR(INDEX('Items'!$B$3:$B$202,MATCH($B165,'Items'!$A$3:$A$202,0)),""))</f>
        <v/>
      </c>
      <c r="D165" s="4" t="inlineStr">
        <is>
          <t>L10883</t>
        </is>
      </c>
      <c r="E165" s="4" t="inlineStr">
        <is>
          <t>Out</t>
        </is>
      </c>
      <c r="F165" s="6" t="n">
        <v>4</v>
      </c>
      <c r="G165" s="4" t="inlineStr">
        <is>
          <t>North branch</t>
        </is>
      </c>
      <c r="H165" s="4" t="n"/>
      <c r="I165" s="4" t="inlineStr">
        <is>
          <t>Issued to clinic rooms</t>
        </is>
      </c>
      <c r="J165" s="4" t="inlineStr">
        <is>
          <t>Yasmin Ali</t>
        </is>
      </c>
    </row>
    <row r="166">
      <c r="A166" s="5" t="n">
        <v>46260</v>
      </c>
      <c r="B166" s="4" t="inlineStr">
        <is>
          <t>INV-004</t>
        </is>
      </c>
      <c r="C166" s="8">
        <f>IF($B166="","",IFERROR(INDEX('Items'!$B$3:$B$202,MATCH($B166,'Items'!$A$3:$A$202,0)),""))</f>
        <v/>
      </c>
      <c r="D166" s="4" t="inlineStr">
        <is>
          <t>L5610</t>
        </is>
      </c>
      <c r="E166" s="4" t="inlineStr">
        <is>
          <t>Out</t>
        </is>
      </c>
      <c r="F166" s="6" t="n">
        <v>5</v>
      </c>
      <c r="G166" s="4" t="inlineStr">
        <is>
          <t>Main branch</t>
        </is>
      </c>
      <c r="H166" s="4" t="n"/>
      <c r="I166" s="4" t="inlineStr">
        <is>
          <t>Issued to clinic rooms</t>
        </is>
      </c>
      <c r="J166" s="4" t="inlineStr">
        <is>
          <t>Mona Fahad</t>
        </is>
      </c>
    </row>
    <row r="167">
      <c r="A167" s="5" t="n">
        <v>46260</v>
      </c>
      <c r="B167" s="4" t="inlineStr">
        <is>
          <t>INV-007</t>
        </is>
      </c>
      <c r="C167" s="8">
        <f>IF($B167="","",IFERROR(INDEX('Items'!$B$3:$B$202,MATCH($B167,'Items'!$A$3:$A$202,0)),""))</f>
        <v/>
      </c>
      <c r="D167" s="4" t="inlineStr">
        <is>
          <t>L6036</t>
        </is>
      </c>
      <c r="E167" s="4" t="inlineStr">
        <is>
          <t>Out</t>
        </is>
      </c>
      <c r="F167" s="6" t="n">
        <v>2</v>
      </c>
      <c r="G167" s="4" t="inlineStr">
        <is>
          <t>Main branch</t>
        </is>
      </c>
      <c r="H167" s="4" t="n"/>
      <c r="I167" s="4" t="inlineStr">
        <is>
          <t>Issued to clinic rooms</t>
        </is>
      </c>
      <c r="J167" s="4" t="inlineStr">
        <is>
          <t>Fatima Saad</t>
        </is>
      </c>
    </row>
    <row r="168">
      <c r="A168" s="5" t="n">
        <v>46260</v>
      </c>
      <c r="B168" s="4" t="inlineStr">
        <is>
          <t>INV-008</t>
        </is>
      </c>
      <c r="C168" s="8">
        <f>IF($B168="","",IFERROR(INDEX('Items'!$B$3:$B$202,MATCH($B168,'Items'!$A$3:$A$202,0)),""))</f>
        <v/>
      </c>
      <c r="D168" s="4" t="inlineStr">
        <is>
          <t>L6138</t>
        </is>
      </c>
      <c r="E168" s="4" t="inlineStr">
        <is>
          <t>Out</t>
        </is>
      </c>
      <c r="F168" s="6" t="n">
        <v>2</v>
      </c>
      <c r="G168" s="4" t="inlineStr">
        <is>
          <t>Main branch</t>
        </is>
      </c>
      <c r="H168" s="4" t="n"/>
      <c r="I168" s="4" t="inlineStr">
        <is>
          <t>Issued to clinic rooms</t>
        </is>
      </c>
      <c r="J168" s="4" t="inlineStr">
        <is>
          <t>Fatima Saad</t>
        </is>
      </c>
    </row>
    <row r="169">
      <c r="A169" s="5" t="n">
        <v>46260</v>
      </c>
      <c r="B169" s="4" t="inlineStr">
        <is>
          <t>INV-010</t>
        </is>
      </c>
      <c r="C169" s="8">
        <f>IF($B169="","",IFERROR(INDEX('Items'!$B$3:$B$202,MATCH($B169,'Items'!$A$3:$A$202,0)),""))</f>
        <v/>
      </c>
      <c r="D169" s="4" t="inlineStr">
        <is>
          <t>L6327</t>
        </is>
      </c>
      <c r="E169" s="4" t="inlineStr">
        <is>
          <t>Out</t>
        </is>
      </c>
      <c r="F169" s="6" t="n">
        <v>1</v>
      </c>
      <c r="G169" s="4" t="inlineStr">
        <is>
          <t>Main branch</t>
        </is>
      </c>
      <c r="H169" s="4" t="n"/>
      <c r="I169" s="4" t="inlineStr">
        <is>
          <t>Issued to clinic rooms</t>
        </is>
      </c>
      <c r="J169" s="4" t="inlineStr">
        <is>
          <t>Fatima Saad</t>
        </is>
      </c>
    </row>
    <row r="170">
      <c r="A170" s="5" t="n">
        <v>46260</v>
      </c>
      <c r="B170" s="4" t="inlineStr">
        <is>
          <t>INV-011</t>
        </is>
      </c>
      <c r="C170" s="8">
        <f>IF($B170="","",IFERROR(INDEX('Items'!$B$3:$B$202,MATCH($B170,'Items'!$A$3:$A$202,0)),""))</f>
        <v/>
      </c>
      <c r="D170" s="4" t="inlineStr">
        <is>
          <t>L6436</t>
        </is>
      </c>
      <c r="E170" s="4" t="inlineStr">
        <is>
          <t>Out</t>
        </is>
      </c>
      <c r="F170" s="6" t="n">
        <v>4</v>
      </c>
      <c r="G170" s="4" t="inlineStr">
        <is>
          <t>Main branch</t>
        </is>
      </c>
      <c r="H170" s="4" t="n"/>
      <c r="I170" s="4" t="inlineStr">
        <is>
          <t>Issued to clinic rooms</t>
        </is>
      </c>
      <c r="J170" s="4" t="inlineStr">
        <is>
          <t>Mona Fahad</t>
        </is>
      </c>
    </row>
    <row r="171">
      <c r="A171" s="5" t="n">
        <v>46260</v>
      </c>
      <c r="B171" s="4" t="inlineStr">
        <is>
          <t>INV-011</t>
        </is>
      </c>
      <c r="C171" s="8">
        <f>IF($B171="","",IFERROR(INDEX('Items'!$B$3:$B$202,MATCH($B171,'Items'!$A$3:$A$202,0)),""))</f>
        <v/>
      </c>
      <c r="D171" s="4" t="inlineStr">
        <is>
          <t>L11371</t>
        </is>
      </c>
      <c r="E171" s="4" t="inlineStr">
        <is>
          <t>Out</t>
        </is>
      </c>
      <c r="F171" s="6" t="n">
        <v>2</v>
      </c>
      <c r="G171" s="4" t="inlineStr">
        <is>
          <t>North branch</t>
        </is>
      </c>
      <c r="H171" s="4" t="n"/>
      <c r="I171" s="4" t="inlineStr">
        <is>
          <t>Issued to clinic rooms</t>
        </is>
      </c>
      <c r="J171" s="4" t="inlineStr">
        <is>
          <t>Yasmin Ali</t>
        </is>
      </c>
    </row>
    <row r="172">
      <c r="A172" s="5" t="n">
        <v>46260</v>
      </c>
      <c r="B172" s="4" t="inlineStr">
        <is>
          <t>INV-017</t>
        </is>
      </c>
      <c r="C172" s="8">
        <f>IF($B172="","",IFERROR(INDEX('Items'!$B$3:$B$202,MATCH($B172,'Items'!$A$3:$A$202,0)),""))</f>
        <v/>
      </c>
      <c r="D172" s="4" t="inlineStr">
        <is>
          <t>L11671</t>
        </is>
      </c>
      <c r="E172" s="4" t="inlineStr">
        <is>
          <t>Out</t>
        </is>
      </c>
      <c r="F172" s="6" t="n">
        <v>3</v>
      </c>
      <c r="G172" s="4" t="inlineStr">
        <is>
          <t>North branch</t>
        </is>
      </c>
      <c r="H172" s="4" t="n"/>
      <c r="I172" s="4" t="inlineStr">
        <is>
          <t>Issued to clinic rooms</t>
        </is>
      </c>
      <c r="J172" s="4" t="inlineStr">
        <is>
          <t>Yasmin Ali</t>
        </is>
      </c>
    </row>
    <row r="173">
      <c r="A173" s="5" t="n">
        <v>46260</v>
      </c>
      <c r="B173" s="4" t="inlineStr">
        <is>
          <t>INV-019</t>
        </is>
      </c>
      <c r="C173" s="8">
        <f>IF($B173="","",IFERROR(INDEX('Items'!$B$3:$B$202,MATCH($B173,'Items'!$A$3:$A$202,0)),""))</f>
        <v/>
      </c>
      <c r="D173" s="4" t="inlineStr">
        <is>
          <t>L7336</t>
        </is>
      </c>
      <c r="E173" s="4" t="inlineStr">
        <is>
          <t>Out</t>
        </is>
      </c>
      <c r="F173" s="6" t="n">
        <v>4</v>
      </c>
      <c r="G173" s="4" t="inlineStr">
        <is>
          <t>Main branch</t>
        </is>
      </c>
      <c r="H173" s="4" t="n"/>
      <c r="I173" s="4" t="inlineStr">
        <is>
          <t>Issued to clinic rooms</t>
        </is>
      </c>
      <c r="J173" s="4" t="inlineStr">
        <is>
          <t>Mona Fahad</t>
        </is>
      </c>
    </row>
    <row r="174">
      <c r="A174" s="5" t="n">
        <v>46260</v>
      </c>
      <c r="B174" s="4" t="inlineStr">
        <is>
          <t>INV-041</t>
        </is>
      </c>
      <c r="C174" s="8">
        <f>IF($B174="","",IFERROR(INDEX('Items'!$B$3:$B$202,MATCH($B174,'Items'!$A$3:$A$202,0)),""))</f>
        <v/>
      </c>
      <c r="D174" s="4" t="inlineStr">
        <is>
          <t>L10149</t>
        </is>
      </c>
      <c r="E174" s="4" t="inlineStr">
        <is>
          <t>Out</t>
        </is>
      </c>
      <c r="F174" s="6" t="n">
        <v>1</v>
      </c>
      <c r="G174" s="4" t="inlineStr">
        <is>
          <t>Main branch</t>
        </is>
      </c>
      <c r="H174" s="4" t="n"/>
      <c r="I174" s="4" t="inlineStr">
        <is>
          <t>Issued to clinic rooms</t>
        </is>
      </c>
      <c r="J174" s="4" t="inlineStr">
        <is>
          <t>Omar Hassan</t>
        </is>
      </c>
    </row>
    <row r="175">
      <c r="A175" s="5" t="n">
        <v>46260</v>
      </c>
      <c r="B175" s="4" t="inlineStr">
        <is>
          <t>INV-045</t>
        </is>
      </c>
      <c r="C175" s="8">
        <f>IF($B175="","",IFERROR(INDEX('Items'!$B$3:$B$202,MATCH($B175,'Items'!$A$3:$A$202,0)),""))</f>
        <v/>
      </c>
      <c r="D175" s="4" t="inlineStr">
        <is>
          <t>L10654</t>
        </is>
      </c>
      <c r="E175" s="4" t="inlineStr">
        <is>
          <t>Out</t>
        </is>
      </c>
      <c r="F175" s="6" t="n">
        <v>2</v>
      </c>
      <c r="G175" s="4" t="inlineStr">
        <is>
          <t>Main branch</t>
        </is>
      </c>
      <c r="H175" s="4" t="n"/>
      <c r="I175" s="4" t="inlineStr">
        <is>
          <t>Issued to clinic rooms</t>
        </is>
      </c>
      <c r="J175" s="4" t="inlineStr">
        <is>
          <t>Reem Abdullah</t>
        </is>
      </c>
    </row>
    <row r="176">
      <c r="A176" s="5" t="n">
        <v>46261</v>
      </c>
      <c r="B176" s="4" t="inlineStr">
        <is>
          <t>INV-006</t>
        </is>
      </c>
      <c r="C176" s="8">
        <f>IF($B176="","",IFERROR(INDEX('Items'!$B$3:$B$202,MATCH($B176,'Items'!$A$3:$A$202,0)),""))</f>
        <v/>
      </c>
      <c r="D176" s="4" t="inlineStr">
        <is>
          <t>L5849</t>
        </is>
      </c>
      <c r="E176" s="4" t="inlineStr">
        <is>
          <t>Out</t>
        </is>
      </c>
      <c r="F176" s="6" t="n">
        <v>2</v>
      </c>
      <c r="G176" s="4" t="inlineStr">
        <is>
          <t>Main branch</t>
        </is>
      </c>
      <c r="H176" s="4" t="n"/>
      <c r="I176" s="4" t="inlineStr">
        <is>
          <t>Issued to clinic rooms</t>
        </is>
      </c>
      <c r="J176" s="4" t="inlineStr">
        <is>
          <t>Mona Fahad</t>
        </is>
      </c>
    </row>
    <row r="177">
      <c r="A177" s="5" t="n">
        <v>46261</v>
      </c>
      <c r="B177" s="4" t="inlineStr">
        <is>
          <t>INV-010</t>
        </is>
      </c>
      <c r="C177" s="8">
        <f>IF($B177="","",IFERROR(INDEX('Items'!$B$3:$B$202,MATCH($B177,'Items'!$A$3:$A$202,0)),""))</f>
        <v/>
      </c>
      <c r="D177" s="4" t="inlineStr">
        <is>
          <t>L11213</t>
        </is>
      </c>
      <c r="E177" s="4" t="inlineStr">
        <is>
          <t>Out</t>
        </is>
      </c>
      <c r="F177" s="6" t="n">
        <v>1</v>
      </c>
      <c r="G177" s="4" t="inlineStr">
        <is>
          <t>North branch</t>
        </is>
      </c>
      <c r="H177" s="4" t="n"/>
      <c r="I177" s="4" t="inlineStr">
        <is>
          <t>Issued to clinic rooms</t>
        </is>
      </c>
      <c r="J177" s="4" t="inlineStr">
        <is>
          <t>Yasmin Ali</t>
        </is>
      </c>
    </row>
    <row r="178">
      <c r="A178" s="5" t="n">
        <v>46261</v>
      </c>
      <c r="B178" s="4" t="inlineStr">
        <is>
          <t>INV-016</t>
        </is>
      </c>
      <c r="C178" s="8">
        <f>IF($B178="","",IFERROR(INDEX('Items'!$B$3:$B$202,MATCH($B178,'Items'!$A$3:$A$202,0)),""))</f>
        <v/>
      </c>
      <c r="D178" s="4" t="inlineStr">
        <is>
          <t>L6967</t>
        </is>
      </c>
      <c r="E178" s="4" t="inlineStr">
        <is>
          <t>Out</t>
        </is>
      </c>
      <c r="F178" s="6" t="n">
        <v>3</v>
      </c>
      <c r="G178" s="4" t="inlineStr">
        <is>
          <t>Main branch</t>
        </is>
      </c>
      <c r="H178" s="4" t="n"/>
      <c r="I178" s="4" t="inlineStr">
        <is>
          <t>Issued to clinic rooms</t>
        </is>
      </c>
      <c r="J178" s="4" t="inlineStr">
        <is>
          <t>Fatima Saad</t>
        </is>
      </c>
    </row>
    <row r="179">
      <c r="A179" s="5" t="n">
        <v>46261</v>
      </c>
      <c r="B179" s="4" t="inlineStr">
        <is>
          <t>INV-025</t>
        </is>
      </c>
      <c r="C179" s="8">
        <f>IF($B179="","",IFERROR(INDEX('Items'!$B$3:$B$202,MATCH($B179,'Items'!$A$3:$A$202,0)),""))</f>
        <v/>
      </c>
      <c r="D179" s="4" t="inlineStr">
        <is>
          <t>L8335</t>
        </is>
      </c>
      <c r="E179" s="4" t="inlineStr">
        <is>
          <t>Out</t>
        </is>
      </c>
      <c r="F179" s="6" t="n">
        <v>1</v>
      </c>
      <c r="G179" s="4" t="inlineStr">
        <is>
          <t>Main branch</t>
        </is>
      </c>
      <c r="H179" s="4" t="n"/>
      <c r="I179" s="4" t="inlineStr">
        <is>
          <t>Issued to clinic rooms</t>
        </is>
      </c>
      <c r="J179" s="4" t="inlineStr">
        <is>
          <t>Mona Fahad</t>
        </is>
      </c>
    </row>
    <row r="180">
      <c r="A180" s="5" t="n">
        <v>46261</v>
      </c>
      <c r="B180" s="4" t="inlineStr">
        <is>
          <t>INV-027</t>
        </is>
      </c>
      <c r="C180" s="8">
        <f>IF($B180="","",IFERROR(INDEX('Items'!$B$3:$B$202,MATCH($B180,'Items'!$A$3:$A$202,0)),""))</f>
        <v/>
      </c>
      <c r="D180" s="4" t="inlineStr">
        <is>
          <t>L8544</t>
        </is>
      </c>
      <c r="E180" s="4" t="inlineStr">
        <is>
          <t>Out</t>
        </is>
      </c>
      <c r="F180" s="6" t="n">
        <v>2</v>
      </c>
      <c r="G180" s="4" t="inlineStr">
        <is>
          <t>Main branch</t>
        </is>
      </c>
      <c r="H180" s="4" t="n"/>
      <c r="I180" s="4" t="inlineStr">
        <is>
          <t>Issued to clinic rooms</t>
        </is>
      </c>
      <c r="J180" s="4" t="inlineStr">
        <is>
          <t>Mona Fahad</t>
        </is>
      </c>
    </row>
    <row r="181">
      <c r="A181" s="5" t="n">
        <v>46261</v>
      </c>
      <c r="B181" s="4" t="inlineStr">
        <is>
          <t>INV-037</t>
        </is>
      </c>
      <c r="C181" s="8">
        <f>IF($B181="","",IFERROR(INDEX('Items'!$B$3:$B$202,MATCH($B181,'Items'!$A$3:$A$202,0)),""))</f>
        <v/>
      </c>
      <c r="D181" s="4" t="inlineStr">
        <is>
          <t>L9576</t>
        </is>
      </c>
      <c r="E181" s="4" t="inlineStr">
        <is>
          <t>Out</t>
        </is>
      </c>
      <c r="F181" s="6" t="n">
        <v>4</v>
      </c>
      <c r="G181" s="4" t="inlineStr">
        <is>
          <t>Main branch</t>
        </is>
      </c>
      <c r="H181" s="4" t="n"/>
      <c r="I181" s="4" t="inlineStr">
        <is>
          <t>Issued to clinic rooms</t>
        </is>
      </c>
      <c r="J181" s="4" t="inlineStr">
        <is>
          <t>Omar Hassan</t>
        </is>
      </c>
    </row>
    <row r="182">
      <c r="A182" s="5" t="n">
        <v>46261</v>
      </c>
      <c r="B182" s="4" t="inlineStr">
        <is>
          <t>INV-038</t>
        </is>
      </c>
      <c r="C182" s="8">
        <f>IF($B182="","",IFERROR(INDEX('Items'!$B$3:$B$202,MATCH($B182,'Items'!$A$3:$A$202,0)),""))</f>
        <v/>
      </c>
      <c r="D182" s="4" t="inlineStr">
        <is>
          <t>L9742</t>
        </is>
      </c>
      <c r="E182" s="4" t="inlineStr">
        <is>
          <t>Out</t>
        </is>
      </c>
      <c r="F182" s="6" t="n">
        <v>5</v>
      </c>
      <c r="G182" s="4" t="inlineStr">
        <is>
          <t>Main branch</t>
        </is>
      </c>
      <c r="H182" s="4" t="n"/>
      <c r="I182" s="4" t="inlineStr">
        <is>
          <t>Issued to clinic rooms</t>
        </is>
      </c>
      <c r="J182" s="4" t="inlineStr">
        <is>
          <t>Omar Hassan</t>
        </is>
      </c>
    </row>
    <row r="183">
      <c r="A183" s="5" t="n">
        <v>46264</v>
      </c>
      <c r="B183" s="4" t="inlineStr">
        <is>
          <t>INV-001</t>
        </is>
      </c>
      <c r="C183" s="8">
        <f>IF($B183="","",IFERROR(INDEX('Items'!$B$3:$B$202,MATCH($B183,'Items'!$A$3:$A$202,0)),""))</f>
        <v/>
      </c>
      <c r="D183" s="4" t="inlineStr">
        <is>
          <t>L5068</t>
        </is>
      </c>
      <c r="E183" s="4" t="inlineStr">
        <is>
          <t>Out</t>
        </is>
      </c>
      <c r="F183" s="6" t="n">
        <v>7</v>
      </c>
      <c r="G183" s="4" t="inlineStr">
        <is>
          <t>Main branch</t>
        </is>
      </c>
      <c r="H183" s="4" t="n"/>
      <c r="I183" s="4" t="inlineStr">
        <is>
          <t>Issued to clinic rooms</t>
        </is>
      </c>
      <c r="J183" s="4" t="inlineStr">
        <is>
          <t>Mona Fahad</t>
        </is>
      </c>
    </row>
    <row r="184">
      <c r="A184" s="5" t="n">
        <v>46264</v>
      </c>
      <c r="B184" s="4" t="inlineStr">
        <is>
          <t>INV-004</t>
        </is>
      </c>
      <c r="C184" s="8">
        <f>IF($B184="","",IFERROR(INDEX('Items'!$B$3:$B$202,MATCH($B184,'Items'!$A$3:$A$202,0)),""))</f>
        <v/>
      </c>
      <c r="D184" s="4" t="inlineStr">
        <is>
          <t>L5610</t>
        </is>
      </c>
      <c r="E184" s="4" t="inlineStr">
        <is>
          <t>Out</t>
        </is>
      </c>
      <c r="F184" s="6" t="n">
        <v>7</v>
      </c>
      <c r="G184" s="4" t="inlineStr">
        <is>
          <t>Main branch</t>
        </is>
      </c>
      <c r="H184" s="4" t="n"/>
      <c r="I184" s="4" t="inlineStr">
        <is>
          <t>Issued to clinic rooms</t>
        </is>
      </c>
      <c r="J184" s="4" t="inlineStr">
        <is>
          <t>Fatima Saad</t>
        </is>
      </c>
    </row>
    <row r="185">
      <c r="A185" s="5" t="n">
        <v>46264</v>
      </c>
      <c r="B185" s="4" t="inlineStr">
        <is>
          <t>INV-004</t>
        </is>
      </c>
      <c r="C185" s="8">
        <f>IF($B185="","",IFERROR(INDEX('Items'!$B$3:$B$202,MATCH($B185,'Items'!$A$3:$A$202,0)),""))</f>
        <v/>
      </c>
      <c r="D185" s="4" t="inlineStr">
        <is>
          <t>L11058</t>
        </is>
      </c>
      <c r="E185" s="4" t="inlineStr">
        <is>
          <t>Out</t>
        </is>
      </c>
      <c r="F185" s="6" t="n">
        <v>3</v>
      </c>
      <c r="G185" s="4" t="inlineStr">
        <is>
          <t>North branch</t>
        </is>
      </c>
      <c r="H185" s="4" t="n"/>
      <c r="I185" s="4" t="inlineStr">
        <is>
          <t>Issued to clinic rooms</t>
        </is>
      </c>
      <c r="J185" s="4" t="inlineStr">
        <is>
          <t>Yasmin Ali</t>
        </is>
      </c>
    </row>
    <row r="186">
      <c r="A186" s="5" t="n">
        <v>46264</v>
      </c>
      <c r="B186" s="4" t="inlineStr">
        <is>
          <t>INV-007</t>
        </is>
      </c>
      <c r="C186" s="8">
        <f>IF($B186="","",IFERROR(INDEX('Items'!$B$3:$B$202,MATCH($B186,'Items'!$A$3:$A$202,0)),""))</f>
        <v/>
      </c>
      <c r="D186" s="4" t="inlineStr">
        <is>
          <t>L6036</t>
        </is>
      </c>
      <c r="E186" s="4" t="inlineStr">
        <is>
          <t>Out</t>
        </is>
      </c>
      <c r="F186" s="6" t="n">
        <v>2</v>
      </c>
      <c r="G186" s="4" t="inlineStr">
        <is>
          <t>Main branch</t>
        </is>
      </c>
      <c r="H186" s="4" t="n"/>
      <c r="I186" s="4" t="inlineStr">
        <is>
          <t>Issued to clinic rooms</t>
        </is>
      </c>
      <c r="J186" s="4" t="inlineStr">
        <is>
          <t>Mona Fahad</t>
        </is>
      </c>
    </row>
    <row r="187">
      <c r="A187" s="5" t="n">
        <v>46264</v>
      </c>
      <c r="B187" s="4" t="inlineStr">
        <is>
          <t>INV-009</t>
        </is>
      </c>
      <c r="C187" s="8">
        <f>IF($B187="","",IFERROR(INDEX('Items'!$B$3:$B$202,MATCH($B187,'Items'!$A$3:$A$202,0)),""))</f>
        <v/>
      </c>
      <c r="D187" s="4" t="inlineStr">
        <is>
          <t>L6258</t>
        </is>
      </c>
      <c r="E187" s="4" t="inlineStr">
        <is>
          <t>Out</t>
        </is>
      </c>
      <c r="F187" s="6" t="n">
        <v>1</v>
      </c>
      <c r="G187" s="4" t="inlineStr">
        <is>
          <t>Main branch</t>
        </is>
      </c>
      <c r="H187" s="4" t="n"/>
      <c r="I187" s="4" t="inlineStr">
        <is>
          <t>Issued to clinic rooms</t>
        </is>
      </c>
      <c r="J187" s="4" t="inlineStr">
        <is>
          <t>Mona Fahad</t>
        </is>
      </c>
    </row>
    <row r="188">
      <c r="A188" s="5" t="n">
        <v>46264</v>
      </c>
      <c r="B188" s="4" t="inlineStr">
        <is>
          <t>INV-010</t>
        </is>
      </c>
      <c r="C188" s="8">
        <f>IF($B188="","",IFERROR(INDEX('Items'!$B$3:$B$202,MATCH($B188,'Items'!$A$3:$A$202,0)),""))</f>
        <v/>
      </c>
      <c r="D188" s="4" t="inlineStr">
        <is>
          <t>L11213</t>
        </is>
      </c>
      <c r="E188" s="4" t="inlineStr">
        <is>
          <t>Out</t>
        </is>
      </c>
      <c r="F188" s="6" t="n">
        <v>1</v>
      </c>
      <c r="G188" s="4" t="inlineStr">
        <is>
          <t>North branch</t>
        </is>
      </c>
      <c r="H188" s="4" t="n"/>
      <c r="I188" s="4" t="inlineStr">
        <is>
          <t>Issued to clinic rooms</t>
        </is>
      </c>
      <c r="J188" s="4" t="inlineStr">
        <is>
          <t>Yasmin Ali</t>
        </is>
      </c>
    </row>
    <row r="189">
      <c r="A189" s="5" t="n">
        <v>46264</v>
      </c>
      <c r="B189" s="4" t="inlineStr">
        <is>
          <t>INV-014</t>
        </is>
      </c>
      <c r="C189" s="8">
        <f>IF($B189="","",IFERROR(INDEX('Items'!$B$3:$B$202,MATCH($B189,'Items'!$A$3:$A$202,0)),""))</f>
        <v/>
      </c>
      <c r="D189" s="4" t="inlineStr">
        <is>
          <t>L6777</t>
        </is>
      </c>
      <c r="E189" s="4" t="inlineStr">
        <is>
          <t>Out</t>
        </is>
      </c>
      <c r="F189" s="6" t="n">
        <v>2</v>
      </c>
      <c r="G189" s="4" t="inlineStr">
        <is>
          <t>Main branch</t>
        </is>
      </c>
      <c r="H189" s="4" t="n"/>
      <c r="I189" s="4" t="inlineStr">
        <is>
          <t>Issued to clinic rooms</t>
        </is>
      </c>
      <c r="J189" s="4" t="inlineStr">
        <is>
          <t>Mona Fahad</t>
        </is>
      </c>
    </row>
    <row r="190">
      <c r="A190" s="5" t="n">
        <v>46264</v>
      </c>
      <c r="B190" s="4" t="inlineStr">
        <is>
          <t>INV-017</t>
        </is>
      </c>
      <c r="C190" s="8">
        <f>IF($B190="","",IFERROR(INDEX('Items'!$B$3:$B$202,MATCH($B190,'Items'!$A$3:$A$202,0)),""))</f>
        <v/>
      </c>
      <c r="D190" s="4" t="inlineStr">
        <is>
          <t>L7038</t>
        </is>
      </c>
      <c r="E190" s="4" t="inlineStr">
        <is>
          <t>Out</t>
        </is>
      </c>
      <c r="F190" s="6" t="n">
        <v>5</v>
      </c>
      <c r="G190" s="4" t="inlineStr">
        <is>
          <t>Main branch</t>
        </is>
      </c>
      <c r="H190" s="4" t="n"/>
      <c r="I190" s="4" t="inlineStr">
        <is>
          <t>Issued to clinic rooms</t>
        </is>
      </c>
      <c r="J190" s="4" t="inlineStr">
        <is>
          <t>Mona Fahad</t>
        </is>
      </c>
    </row>
    <row r="191">
      <c r="A191" s="5" t="n">
        <v>46264</v>
      </c>
      <c r="B191" s="4" t="inlineStr">
        <is>
          <t>INV-018</t>
        </is>
      </c>
      <c r="C191" s="8">
        <f>IF($B191="","",IFERROR(INDEX('Items'!$B$3:$B$202,MATCH($B191,'Items'!$A$3:$A$202,0)),""))</f>
        <v/>
      </c>
      <c r="D191" s="4" t="inlineStr">
        <is>
          <t>L7150</t>
        </is>
      </c>
      <c r="E191" s="4" t="inlineStr">
        <is>
          <t>Out</t>
        </is>
      </c>
      <c r="F191" s="6" t="n">
        <v>1</v>
      </c>
      <c r="G191" s="4" t="inlineStr">
        <is>
          <t>Main branch</t>
        </is>
      </c>
      <c r="H191" s="4" t="n"/>
      <c r="I191" s="4" t="inlineStr">
        <is>
          <t>Issued to clinic rooms</t>
        </is>
      </c>
      <c r="J191" s="4" t="inlineStr">
        <is>
          <t>Fatima Saad</t>
        </is>
      </c>
    </row>
    <row r="192">
      <c r="A192" s="5" t="n">
        <v>46264</v>
      </c>
      <c r="B192" s="4" t="inlineStr">
        <is>
          <t>INV-023</t>
        </is>
      </c>
      <c r="C192" s="8">
        <f>IF($B192="","",IFERROR(INDEX('Items'!$B$3:$B$202,MATCH($B192,'Items'!$A$3:$A$202,0)),""))</f>
        <v/>
      </c>
      <c r="D192" s="4" t="inlineStr">
        <is>
          <t>L7993</t>
        </is>
      </c>
      <c r="E192" s="4" t="inlineStr">
        <is>
          <t>Out</t>
        </is>
      </c>
      <c r="F192" s="6" t="n">
        <v>3</v>
      </c>
      <c r="G192" s="4" t="inlineStr">
        <is>
          <t>Main branch</t>
        </is>
      </c>
      <c r="H192" s="4" t="n"/>
      <c r="I192" s="4" t="inlineStr">
        <is>
          <t>Issued to clinic rooms</t>
        </is>
      </c>
      <c r="J192" s="4" t="inlineStr">
        <is>
          <t>Fatima Saad</t>
        </is>
      </c>
    </row>
    <row r="193">
      <c r="A193" s="5" t="n">
        <v>46264</v>
      </c>
      <c r="B193" s="4" t="inlineStr">
        <is>
          <t>INV-023</t>
        </is>
      </c>
      <c r="C193" s="8">
        <f>IF($B193="","",IFERROR(INDEX('Items'!$B$3:$B$202,MATCH($B193,'Items'!$A$3:$A$202,0)),""))</f>
        <v/>
      </c>
      <c r="D193" s="4" t="inlineStr">
        <is>
          <t>L7921</t>
        </is>
      </c>
      <c r="E193" s="4" t="inlineStr">
        <is>
          <t>Out</t>
        </is>
      </c>
      <c r="F193" s="6" t="n">
        <v>1</v>
      </c>
      <c r="G193" s="4" t="inlineStr">
        <is>
          <t>Main branch</t>
        </is>
      </c>
      <c r="H193" s="4" t="n"/>
      <c r="I193" s="4" t="inlineStr">
        <is>
          <t>Issued to clinic rooms</t>
        </is>
      </c>
      <c r="J193" s="4" t="inlineStr">
        <is>
          <t>Mona Fahad</t>
        </is>
      </c>
    </row>
    <row r="194">
      <c r="A194" s="5" t="n">
        <v>46264</v>
      </c>
      <c r="B194" s="4" t="inlineStr">
        <is>
          <t>INV-033</t>
        </is>
      </c>
      <c r="C194" s="8">
        <f>IF($B194="","",IFERROR(INDEX('Items'!$B$3:$B$202,MATCH($B194,'Items'!$A$3:$A$202,0)),""))</f>
        <v/>
      </c>
      <c r="D194" s="4" t="inlineStr">
        <is>
          <t>L11793</t>
        </is>
      </c>
      <c r="E194" s="4" t="inlineStr">
        <is>
          <t>Out</t>
        </is>
      </c>
      <c r="F194" s="6" t="n">
        <v>2</v>
      </c>
      <c r="G194" s="4" t="inlineStr">
        <is>
          <t>North branch</t>
        </is>
      </c>
      <c r="H194" s="4" t="n"/>
      <c r="I194" s="4" t="inlineStr">
        <is>
          <t>Issued to clinic rooms</t>
        </is>
      </c>
      <c r="J194" s="4" t="inlineStr">
        <is>
          <t>Yasmin Ali</t>
        </is>
      </c>
    </row>
    <row r="195">
      <c r="A195" s="5" t="n">
        <v>46264</v>
      </c>
      <c r="B195" s="4" t="inlineStr">
        <is>
          <t>INV-034</t>
        </is>
      </c>
      <c r="C195" s="8">
        <f>IF($B195="","",IFERROR(INDEX('Items'!$B$3:$B$202,MATCH($B195,'Items'!$A$3:$A$202,0)),""))</f>
        <v/>
      </c>
      <c r="D195" s="4" t="inlineStr">
        <is>
          <t>L9240</t>
        </is>
      </c>
      <c r="E195" s="4" t="inlineStr">
        <is>
          <t>Out</t>
        </is>
      </c>
      <c r="F195" s="6" t="n">
        <v>1</v>
      </c>
      <c r="G195" s="4" t="inlineStr">
        <is>
          <t>Main branch</t>
        </is>
      </c>
      <c r="H195" s="4" t="n"/>
      <c r="I195" s="4" t="inlineStr">
        <is>
          <t>Issued to clinic rooms</t>
        </is>
      </c>
      <c r="J195" s="4" t="inlineStr">
        <is>
          <t>Reem Abdullah</t>
        </is>
      </c>
    </row>
    <row r="196">
      <c r="A196" s="5" t="n">
        <v>46264</v>
      </c>
      <c r="B196" s="4" t="inlineStr">
        <is>
          <t>INV-036</t>
        </is>
      </c>
      <c r="C196" s="8">
        <f>IF($B196="","",IFERROR(INDEX('Items'!$B$3:$B$202,MATCH($B196,'Items'!$A$3:$A$202,0)),""))</f>
        <v/>
      </c>
      <c r="D196" s="4" t="inlineStr">
        <is>
          <t>L9419</t>
        </is>
      </c>
      <c r="E196" s="4" t="inlineStr">
        <is>
          <t>Out</t>
        </is>
      </c>
      <c r="F196" s="6" t="n">
        <v>1</v>
      </c>
      <c r="G196" s="4" t="inlineStr">
        <is>
          <t>Main branch</t>
        </is>
      </c>
      <c r="H196" s="4" t="n"/>
      <c r="I196" s="4" t="inlineStr">
        <is>
          <t>Issued to clinic rooms</t>
        </is>
      </c>
      <c r="J196" s="4" t="inlineStr">
        <is>
          <t>Omar Hassan</t>
        </is>
      </c>
    </row>
    <row r="197">
      <c r="A197" s="5" t="n">
        <v>46264</v>
      </c>
      <c r="B197" s="4" t="inlineStr">
        <is>
          <t>INV-043</t>
        </is>
      </c>
      <c r="C197" s="8">
        <f>IF($B197="","",IFERROR(INDEX('Items'!$B$3:$B$202,MATCH($B197,'Items'!$A$3:$A$202,0)),""))</f>
        <v/>
      </c>
      <c r="D197" s="4" t="inlineStr">
        <is>
          <t>L10382</t>
        </is>
      </c>
      <c r="E197" s="4" t="inlineStr">
        <is>
          <t>Out</t>
        </is>
      </c>
      <c r="F197" s="6" t="n">
        <v>1</v>
      </c>
      <c r="G197" s="4" t="inlineStr">
        <is>
          <t>Main branch</t>
        </is>
      </c>
      <c r="H197" s="4" t="n"/>
      <c r="I197" s="4" t="inlineStr">
        <is>
          <t>Issued to clinic rooms</t>
        </is>
      </c>
      <c r="J197" s="4" t="inlineStr">
        <is>
          <t>Omar Hassan</t>
        </is>
      </c>
    </row>
    <row r="198">
      <c r="A198" s="5" t="n">
        <v>46265</v>
      </c>
      <c r="B198" s="4" t="inlineStr">
        <is>
          <t>INV-003</t>
        </is>
      </c>
      <c r="C198" s="8">
        <f>IF($B198="","",IFERROR(INDEX('Items'!$B$3:$B$202,MATCH($B198,'Items'!$A$3:$A$202,0)),""))</f>
        <v/>
      </c>
      <c r="D198" s="4" t="inlineStr">
        <is>
          <t>L5441</t>
        </is>
      </c>
      <c r="E198" s="4" t="inlineStr">
        <is>
          <t>Out</t>
        </is>
      </c>
      <c r="F198" s="6" t="n">
        <v>6</v>
      </c>
      <c r="G198" s="4" t="inlineStr">
        <is>
          <t>Main branch</t>
        </is>
      </c>
      <c r="H198" s="4" t="n"/>
      <c r="I198" s="4" t="inlineStr">
        <is>
          <t>Issued to clinic rooms</t>
        </is>
      </c>
      <c r="J198" s="4" t="inlineStr">
        <is>
          <t>Fatima Saad</t>
        </is>
      </c>
    </row>
    <row r="199">
      <c r="A199" s="5" t="n">
        <v>46265</v>
      </c>
      <c r="B199" s="4" t="inlineStr">
        <is>
          <t>INV-008</t>
        </is>
      </c>
      <c r="C199" s="8">
        <f>IF($B199="","",IFERROR(INDEX('Items'!$B$3:$B$202,MATCH($B199,'Items'!$A$3:$A$202,0)),""))</f>
        <v/>
      </c>
      <c r="D199" s="4" t="inlineStr">
        <is>
          <t>L6138</t>
        </is>
      </c>
      <c r="E199" s="4" t="inlineStr">
        <is>
          <t>Out</t>
        </is>
      </c>
      <c r="F199" s="6" t="n">
        <v>2</v>
      </c>
      <c r="G199" s="4" t="inlineStr">
        <is>
          <t>Main branch</t>
        </is>
      </c>
      <c r="H199" s="4" t="n"/>
      <c r="I199" s="4" t="inlineStr">
        <is>
          <t>Issued to clinic rooms</t>
        </is>
      </c>
      <c r="J199" s="4" t="inlineStr">
        <is>
          <t>Fatima Saad</t>
        </is>
      </c>
    </row>
    <row r="200">
      <c r="A200" s="5" t="n">
        <v>46265</v>
      </c>
      <c r="B200" s="4" t="inlineStr">
        <is>
          <t>INV-016</t>
        </is>
      </c>
      <c r="C200" s="8">
        <f>IF($B200="","",IFERROR(INDEX('Items'!$B$3:$B$202,MATCH($B200,'Items'!$A$3:$A$202,0)),""))</f>
        <v/>
      </c>
      <c r="D200" s="4" t="inlineStr">
        <is>
          <t>L6967</t>
        </is>
      </c>
      <c r="E200" s="4" t="inlineStr">
        <is>
          <t>Out</t>
        </is>
      </c>
      <c r="F200" s="6" t="n">
        <v>3</v>
      </c>
      <c r="G200" s="4" t="inlineStr">
        <is>
          <t>Main branch</t>
        </is>
      </c>
      <c r="H200" s="4" t="n"/>
      <c r="I200" s="4" t="inlineStr">
        <is>
          <t>Issued to clinic rooms</t>
        </is>
      </c>
      <c r="J200" s="4" t="inlineStr">
        <is>
          <t>Mona Fahad</t>
        </is>
      </c>
    </row>
    <row r="201">
      <c r="A201" s="5" t="n">
        <v>46265</v>
      </c>
      <c r="B201" s="4" t="inlineStr">
        <is>
          <t>INV-025</t>
        </is>
      </c>
      <c r="C201" s="8">
        <f>IF($B201="","",IFERROR(INDEX('Items'!$B$3:$B$202,MATCH($B201,'Items'!$A$3:$A$202,0)),""))</f>
        <v/>
      </c>
      <c r="D201" s="4" t="inlineStr">
        <is>
          <t>L8335</t>
        </is>
      </c>
      <c r="E201" s="4" t="inlineStr">
        <is>
          <t>Out</t>
        </is>
      </c>
      <c r="F201" s="6" t="n">
        <v>2</v>
      </c>
      <c r="G201" s="4" t="inlineStr">
        <is>
          <t>Main branch</t>
        </is>
      </c>
      <c r="H201" s="4" t="n"/>
      <c r="I201" s="4" t="inlineStr">
        <is>
          <t>Issued to clinic rooms</t>
        </is>
      </c>
      <c r="J201" s="4" t="inlineStr">
        <is>
          <t>Fatima Saad</t>
        </is>
      </c>
    </row>
    <row r="202">
      <c r="A202" s="5" t="n">
        <v>46266</v>
      </c>
      <c r="B202" s="4" t="inlineStr">
        <is>
          <t>INV-003</t>
        </is>
      </c>
      <c r="C202" s="8">
        <f>IF($B202="","",IFERROR(INDEX('Items'!$B$3:$B$202,MATCH($B202,'Items'!$A$3:$A$202,0)),""))</f>
        <v/>
      </c>
      <c r="D202" s="4" t="inlineStr">
        <is>
          <t>L10883</t>
        </is>
      </c>
      <c r="E202" s="4" t="inlineStr">
        <is>
          <t>Out</t>
        </is>
      </c>
      <c r="F202" s="6" t="n">
        <v>2</v>
      </c>
      <c r="G202" s="4" t="inlineStr">
        <is>
          <t>North branch</t>
        </is>
      </c>
      <c r="H202" s="4" t="n"/>
      <c r="I202" s="4" t="inlineStr">
        <is>
          <t>Issued to clinic rooms</t>
        </is>
      </c>
      <c r="J202" s="4" t="inlineStr">
        <is>
          <t>Yasmin Ali</t>
        </is>
      </c>
    </row>
    <row r="203">
      <c r="A203" s="5" t="n">
        <v>46266</v>
      </c>
      <c r="B203" s="4" t="inlineStr">
        <is>
          <t>INV-005</t>
        </is>
      </c>
      <c r="C203" s="8">
        <f>IF($B203="","",IFERROR(INDEX('Items'!$B$3:$B$202,MATCH($B203,'Items'!$A$3:$A$202,0)),""))</f>
        <v/>
      </c>
      <c r="D203" s="4" t="inlineStr">
        <is>
          <t>L5721</t>
        </is>
      </c>
      <c r="E203" s="4" t="inlineStr">
        <is>
          <t>Out</t>
        </is>
      </c>
      <c r="F203" s="6" t="n">
        <v>2</v>
      </c>
      <c r="G203" s="4" t="inlineStr">
        <is>
          <t>Main branch</t>
        </is>
      </c>
      <c r="H203" s="4" t="n"/>
      <c r="I203" s="4" t="inlineStr">
        <is>
          <t>Issued to clinic rooms</t>
        </is>
      </c>
      <c r="J203" s="4" t="inlineStr">
        <is>
          <t>Mona Fahad</t>
        </is>
      </c>
    </row>
    <row r="204">
      <c r="A204" s="5" t="n">
        <v>46266</v>
      </c>
      <c r="B204" s="4" t="inlineStr">
        <is>
          <t>INV-010</t>
        </is>
      </c>
      <c r="C204" s="8">
        <f>IF($B204="","",IFERROR(INDEX('Items'!$B$3:$B$202,MATCH($B204,'Items'!$A$3:$A$202,0)),""))</f>
        <v/>
      </c>
      <c r="D204" s="4" t="inlineStr">
        <is>
          <t>L6327</t>
        </is>
      </c>
      <c r="E204" s="4" t="inlineStr">
        <is>
          <t>Out</t>
        </is>
      </c>
      <c r="F204" s="6" t="n">
        <v>1</v>
      </c>
      <c r="G204" s="4" t="inlineStr">
        <is>
          <t>Main branch</t>
        </is>
      </c>
      <c r="H204" s="4" t="n"/>
      <c r="I204" s="4" t="inlineStr">
        <is>
          <t>Issued to clinic rooms</t>
        </is>
      </c>
      <c r="J204" s="4" t="inlineStr">
        <is>
          <t>Mona Fahad</t>
        </is>
      </c>
    </row>
    <row r="205">
      <c r="A205" s="5" t="n">
        <v>46266</v>
      </c>
      <c r="B205" s="4" t="inlineStr">
        <is>
          <t>INV-011</t>
        </is>
      </c>
      <c r="C205" s="8">
        <f>IF($B205="","",IFERROR(INDEX('Items'!$B$3:$B$202,MATCH($B205,'Items'!$A$3:$A$202,0)),""))</f>
        <v/>
      </c>
      <c r="D205" s="4" t="inlineStr">
        <is>
          <t>L6436</t>
        </is>
      </c>
      <c r="E205" s="4" t="inlineStr">
        <is>
          <t>Out</t>
        </is>
      </c>
      <c r="F205" s="6" t="n">
        <v>4</v>
      </c>
      <c r="G205" s="4" t="inlineStr">
        <is>
          <t>Main branch</t>
        </is>
      </c>
      <c r="H205" s="4" t="n"/>
      <c r="I205" s="4" t="inlineStr">
        <is>
          <t>Issued to clinic rooms</t>
        </is>
      </c>
      <c r="J205" s="4" t="inlineStr">
        <is>
          <t>Mona Fahad</t>
        </is>
      </c>
    </row>
    <row r="206">
      <c r="A206" s="5" t="n">
        <v>46266</v>
      </c>
      <c r="B206" s="4" t="inlineStr">
        <is>
          <t>INV-011</t>
        </is>
      </c>
      <c r="C206" s="8">
        <f>IF($B206="","",IFERROR(INDEX('Items'!$B$3:$B$202,MATCH($B206,'Items'!$A$3:$A$202,0)),""))</f>
        <v/>
      </c>
      <c r="D206" s="4" t="inlineStr">
        <is>
          <t>L11371</t>
        </is>
      </c>
      <c r="E206" s="4" t="inlineStr">
        <is>
          <t>Out</t>
        </is>
      </c>
      <c r="F206" s="6" t="n">
        <v>2</v>
      </c>
      <c r="G206" s="4" t="inlineStr">
        <is>
          <t>North branch</t>
        </is>
      </c>
      <c r="H206" s="4" t="n"/>
      <c r="I206" s="4" t="inlineStr">
        <is>
          <t>Issued to clinic rooms</t>
        </is>
      </c>
      <c r="J206" s="4" t="inlineStr">
        <is>
          <t>Yasmin Ali</t>
        </is>
      </c>
    </row>
    <row r="207">
      <c r="A207" s="5" t="n">
        <v>46266</v>
      </c>
      <c r="B207" s="4" t="inlineStr">
        <is>
          <t>INV-015</t>
        </is>
      </c>
      <c r="C207" s="8">
        <f>IF($B207="","",IFERROR(INDEX('Items'!$B$3:$B$202,MATCH($B207,'Items'!$A$3:$A$202,0)),""))</f>
        <v/>
      </c>
      <c r="D207" s="4" t="inlineStr">
        <is>
          <t>L6900</t>
        </is>
      </c>
      <c r="E207" s="4" t="inlineStr">
        <is>
          <t>Out</t>
        </is>
      </c>
      <c r="F207" s="6" t="n">
        <v>1</v>
      </c>
      <c r="G207" s="4" t="inlineStr">
        <is>
          <t>Main branch</t>
        </is>
      </c>
      <c r="H207" s="4" t="n"/>
      <c r="I207" s="4" t="inlineStr">
        <is>
          <t>Issued to clinic rooms</t>
        </is>
      </c>
      <c r="J207" s="4" t="inlineStr">
        <is>
          <t>Mona Fahad</t>
        </is>
      </c>
    </row>
    <row r="208">
      <c r="A208" s="5" t="n">
        <v>46266</v>
      </c>
      <c r="B208" s="4" t="inlineStr">
        <is>
          <t>INV-019</t>
        </is>
      </c>
      <c r="C208" s="8">
        <f>IF($B208="","",IFERROR(INDEX('Items'!$B$3:$B$202,MATCH($B208,'Items'!$A$3:$A$202,0)),""))</f>
        <v/>
      </c>
      <c r="D208" s="4" t="inlineStr">
        <is>
          <t>L7336</t>
        </is>
      </c>
      <c r="E208" s="4" t="inlineStr">
        <is>
          <t>Out</t>
        </is>
      </c>
      <c r="F208" s="6" t="n">
        <v>3</v>
      </c>
      <c r="G208" s="4" t="inlineStr">
        <is>
          <t>Main branch</t>
        </is>
      </c>
      <c r="H208" s="4" t="n"/>
      <c r="I208" s="4" t="inlineStr">
        <is>
          <t>Issued to clinic rooms</t>
        </is>
      </c>
      <c r="J208" s="4" t="inlineStr">
        <is>
          <t>Mona Fahad</t>
        </is>
      </c>
    </row>
    <row r="209">
      <c r="A209" s="5" t="n">
        <v>46266</v>
      </c>
      <c r="B209" s="4" t="inlineStr">
        <is>
          <t>INV-022</t>
        </is>
      </c>
      <c r="C209" s="8">
        <f>IF($B209="","",IFERROR(INDEX('Items'!$B$3:$B$202,MATCH($B209,'Items'!$A$3:$A$202,0)),""))</f>
        <v/>
      </c>
      <c r="D209" s="4" t="inlineStr">
        <is>
          <t>L7821</t>
        </is>
      </c>
      <c r="E209" s="4" t="inlineStr">
        <is>
          <t>Out</t>
        </is>
      </c>
      <c r="F209" s="6" t="n">
        <v>1</v>
      </c>
      <c r="G209" s="4" t="inlineStr">
        <is>
          <t>Main branch</t>
        </is>
      </c>
      <c r="H209" s="4" t="n"/>
      <c r="I209" s="4" t="inlineStr">
        <is>
          <t>Issued to clinic rooms</t>
        </is>
      </c>
      <c r="J209" s="4" t="inlineStr">
        <is>
          <t>Mona Fahad</t>
        </is>
      </c>
    </row>
    <row r="210">
      <c r="A210" s="5" t="n">
        <v>46266</v>
      </c>
      <c r="B210" s="4" t="inlineStr">
        <is>
          <t>INV-026</t>
        </is>
      </c>
      <c r="C210" s="8">
        <f>IF($B210="","",IFERROR(INDEX('Items'!$B$3:$B$202,MATCH($B210,'Items'!$A$3:$A$202,0)),""))</f>
        <v/>
      </c>
      <c r="D210" s="4" t="inlineStr">
        <is>
          <t>L8443</t>
        </is>
      </c>
      <c r="E210" s="4" t="inlineStr">
        <is>
          <t>Out</t>
        </is>
      </c>
      <c r="F210" s="6" t="n">
        <v>2</v>
      </c>
      <c r="G210" s="4" t="inlineStr">
        <is>
          <t>Main branch</t>
        </is>
      </c>
      <c r="H210" s="4" t="n"/>
      <c r="I210" s="4" t="inlineStr">
        <is>
          <t>Issued to clinic rooms</t>
        </is>
      </c>
      <c r="J210" s="4" t="inlineStr">
        <is>
          <t>Mona Fahad</t>
        </is>
      </c>
    </row>
    <row r="211">
      <c r="A211" s="5" t="n">
        <v>46266</v>
      </c>
      <c r="B211" s="4" t="inlineStr">
        <is>
          <t>INV-045</t>
        </is>
      </c>
      <c r="C211" s="8">
        <f>IF($B211="","",IFERROR(INDEX('Items'!$B$3:$B$202,MATCH($B211,'Items'!$A$3:$A$202,0)),""))</f>
        <v/>
      </c>
      <c r="D211" s="4" t="inlineStr">
        <is>
          <t>L10654</t>
        </is>
      </c>
      <c r="E211" s="4" t="inlineStr">
        <is>
          <t>Out</t>
        </is>
      </c>
      <c r="F211" s="6" t="n">
        <v>2</v>
      </c>
      <c r="G211" s="4" t="inlineStr">
        <is>
          <t>Main branch</t>
        </is>
      </c>
      <c r="H211" s="4" t="n"/>
      <c r="I211" s="4" t="inlineStr">
        <is>
          <t>Issued to clinic rooms</t>
        </is>
      </c>
      <c r="J211" s="4" t="inlineStr">
        <is>
          <t>Omar Hassan</t>
        </is>
      </c>
    </row>
    <row r="212">
      <c r="A212" s="5" t="n">
        <v>46267</v>
      </c>
      <c r="B212" s="4" t="inlineStr">
        <is>
          <t>INV-001</t>
        </is>
      </c>
      <c r="C212" s="8">
        <f>IF($B212="","",IFERROR(INDEX('Items'!$B$3:$B$202,MATCH($B212,'Items'!$A$3:$A$202,0)),""))</f>
        <v/>
      </c>
      <c r="D212" s="4" t="inlineStr">
        <is>
          <t>L10713</t>
        </is>
      </c>
      <c r="E212" s="4" t="inlineStr">
        <is>
          <t>Out</t>
        </is>
      </c>
      <c r="F212" s="6" t="n">
        <v>3</v>
      </c>
      <c r="G212" s="4" t="inlineStr">
        <is>
          <t>North branch</t>
        </is>
      </c>
      <c r="H212" s="4" t="n"/>
      <c r="I212" s="4" t="inlineStr">
        <is>
          <t>Issued to clinic rooms</t>
        </is>
      </c>
      <c r="J212" s="4" t="inlineStr">
        <is>
          <t>Yasmin Ali</t>
        </is>
      </c>
    </row>
    <row r="213">
      <c r="A213" s="5" t="n">
        <v>46267</v>
      </c>
      <c r="B213" s="4" t="inlineStr">
        <is>
          <t>INV-002</t>
        </is>
      </c>
      <c r="C213" s="8">
        <f>IF($B213="","",IFERROR(INDEX('Items'!$B$3:$B$202,MATCH($B213,'Items'!$A$3:$A$202,0)),""))</f>
        <v/>
      </c>
      <c r="D213" s="4" t="inlineStr">
        <is>
          <t>L5216</t>
        </is>
      </c>
      <c r="E213" s="4" t="inlineStr">
        <is>
          <t>Out</t>
        </is>
      </c>
      <c r="F213" s="6" t="n">
        <v>4</v>
      </c>
      <c r="G213" s="4" t="inlineStr">
        <is>
          <t>Main branch</t>
        </is>
      </c>
      <c r="H213" s="4" t="n"/>
      <c r="I213" s="4" t="inlineStr">
        <is>
          <t>Issued to clinic rooms</t>
        </is>
      </c>
      <c r="J213" s="4" t="inlineStr">
        <is>
          <t>Fatima Saad</t>
        </is>
      </c>
    </row>
    <row r="214">
      <c r="A214" s="5" t="n">
        <v>46267</v>
      </c>
      <c r="B214" s="4" t="inlineStr">
        <is>
          <t>INV-006</t>
        </is>
      </c>
      <c r="C214" s="8">
        <f>IF($B214="","",IFERROR(INDEX('Items'!$B$3:$B$202,MATCH($B214,'Items'!$A$3:$A$202,0)),""))</f>
        <v/>
      </c>
      <c r="D214" s="4" t="inlineStr">
        <is>
          <t>L5849</t>
        </is>
      </c>
      <c r="E214" s="4" t="inlineStr">
        <is>
          <t>Out</t>
        </is>
      </c>
      <c r="F214" s="6" t="n">
        <v>2</v>
      </c>
      <c r="G214" s="4" t="inlineStr">
        <is>
          <t>Main branch</t>
        </is>
      </c>
      <c r="H214" s="4" t="n"/>
      <c r="I214" s="4" t="inlineStr">
        <is>
          <t>Issued to clinic rooms</t>
        </is>
      </c>
      <c r="J214" s="4" t="inlineStr">
        <is>
          <t>Fatima Saad</t>
        </is>
      </c>
    </row>
    <row r="215">
      <c r="A215" s="5" t="n">
        <v>46267</v>
      </c>
      <c r="B215" s="4" t="inlineStr">
        <is>
          <t>INV-012</t>
        </is>
      </c>
      <c r="C215" s="8">
        <f>IF($B215="","",IFERROR(INDEX('Items'!$B$3:$B$202,MATCH($B215,'Items'!$A$3:$A$202,0)),""))</f>
        <v/>
      </c>
      <c r="D215" s="4" t="inlineStr">
        <is>
          <t>L6568</t>
        </is>
      </c>
      <c r="E215" s="4" t="inlineStr">
        <is>
          <t>Out</t>
        </is>
      </c>
      <c r="F215" s="6" t="n">
        <v>5</v>
      </c>
      <c r="G215" s="4" t="inlineStr">
        <is>
          <t>Main branch</t>
        </is>
      </c>
      <c r="H215" s="4" t="n"/>
      <c r="I215" s="4" t="inlineStr">
        <is>
          <t>Issued to clinic rooms</t>
        </is>
      </c>
      <c r="J215" s="4" t="inlineStr">
        <is>
          <t>Fatima Saad</t>
        </is>
      </c>
    </row>
    <row r="216">
      <c r="A216" s="5" t="n">
        <v>46267</v>
      </c>
      <c r="B216" s="4" t="inlineStr">
        <is>
          <t>INV-017</t>
        </is>
      </c>
      <c r="C216" s="8">
        <f>IF($B216="","",IFERROR(INDEX('Items'!$B$3:$B$202,MATCH($B216,'Items'!$A$3:$A$202,0)),""))</f>
        <v/>
      </c>
      <c r="D216" s="4" t="inlineStr">
        <is>
          <t>L11671</t>
        </is>
      </c>
      <c r="E216" s="4" t="inlineStr">
        <is>
          <t>Out</t>
        </is>
      </c>
      <c r="F216" s="6" t="n">
        <v>3</v>
      </c>
      <c r="G216" s="4" t="inlineStr">
        <is>
          <t>North branch</t>
        </is>
      </c>
      <c r="H216" s="4" t="n"/>
      <c r="I216" s="4" t="inlineStr">
        <is>
          <t>Issued to clinic rooms</t>
        </is>
      </c>
      <c r="J216" s="4" t="inlineStr">
        <is>
          <t>Yasmin Ali</t>
        </is>
      </c>
    </row>
    <row r="217">
      <c r="A217" s="5" t="n">
        <v>46267</v>
      </c>
      <c r="B217" s="4" t="inlineStr">
        <is>
          <t>INV-024</t>
        </is>
      </c>
      <c r="C217" s="8">
        <f>IF($B217="","",IFERROR(INDEX('Items'!$B$3:$B$202,MATCH($B217,'Items'!$A$3:$A$202,0)),""))</f>
        <v/>
      </c>
      <c r="D217" s="4" t="inlineStr">
        <is>
          <t>L8155</t>
        </is>
      </c>
      <c r="E217" s="4" t="inlineStr">
        <is>
          <t>Out</t>
        </is>
      </c>
      <c r="F217" s="6" t="n">
        <v>3</v>
      </c>
      <c r="G217" s="4" t="inlineStr">
        <is>
          <t>Main branch</t>
        </is>
      </c>
      <c r="H217" s="4" t="n"/>
      <c r="I217" s="4" t="inlineStr">
        <is>
          <t>Issued to clinic rooms</t>
        </is>
      </c>
      <c r="J217" s="4" t="inlineStr">
        <is>
          <t>Fatima Saad</t>
        </is>
      </c>
    </row>
    <row r="218">
      <c r="A218" s="5" t="n">
        <v>46267</v>
      </c>
      <c r="B218" s="4" t="inlineStr">
        <is>
          <t>INV-033</t>
        </is>
      </c>
      <c r="C218" s="8">
        <f>IF($B218="","",IFERROR(INDEX('Items'!$B$3:$B$202,MATCH($B218,'Items'!$A$3:$A$202,0)),""))</f>
        <v/>
      </c>
      <c r="D218" s="4" t="inlineStr">
        <is>
          <t>L9098</t>
        </is>
      </c>
      <c r="E218" s="4" t="inlineStr">
        <is>
          <t>Out</t>
        </is>
      </c>
      <c r="F218" s="6" t="n">
        <v>2</v>
      </c>
      <c r="G218" s="4" t="inlineStr">
        <is>
          <t>Main branch</t>
        </is>
      </c>
      <c r="H218" s="4" t="n"/>
      <c r="I218" s="4" t="inlineStr">
        <is>
          <t>Issued to clinic rooms</t>
        </is>
      </c>
      <c r="J218" s="4" t="inlineStr">
        <is>
          <t>Omar Hassan</t>
        </is>
      </c>
    </row>
    <row r="219">
      <c r="A219" s="5" t="n">
        <v>46267</v>
      </c>
      <c r="B219" s="4" t="inlineStr">
        <is>
          <t>INV-038</t>
        </is>
      </c>
      <c r="C219" s="8">
        <f>IF($B219="","",IFERROR(INDEX('Items'!$B$3:$B$202,MATCH($B219,'Items'!$A$3:$A$202,0)),""))</f>
        <v/>
      </c>
      <c r="D219" s="4" t="inlineStr">
        <is>
          <t>L9742</t>
        </is>
      </c>
      <c r="E219" s="4" t="inlineStr">
        <is>
          <t>Out</t>
        </is>
      </c>
      <c r="F219" s="6" t="n">
        <v>6</v>
      </c>
      <c r="G219" s="4" t="inlineStr">
        <is>
          <t>Main branch</t>
        </is>
      </c>
      <c r="H219" s="4" t="n"/>
      <c r="I219" s="4" t="inlineStr">
        <is>
          <t>Issued to clinic rooms</t>
        </is>
      </c>
      <c r="J219" s="4" t="inlineStr">
        <is>
          <t>Omar Hassan</t>
        </is>
      </c>
    </row>
    <row r="220">
      <c r="A220" s="5" t="n">
        <v>46267</v>
      </c>
      <c r="B220" s="4" t="inlineStr">
        <is>
          <t>INV-040</t>
        </is>
      </c>
      <c r="C220" s="8">
        <f>IF($B220="","",IFERROR(INDEX('Items'!$B$3:$B$202,MATCH($B220,'Items'!$A$3:$A$202,0)),""))</f>
        <v/>
      </c>
      <c r="D220" s="4" t="inlineStr">
        <is>
          <t>L9977</t>
        </is>
      </c>
      <c r="E220" s="4" t="inlineStr">
        <is>
          <t>Out</t>
        </is>
      </c>
      <c r="F220" s="6" t="n">
        <v>1</v>
      </c>
      <c r="G220" s="4" t="inlineStr">
        <is>
          <t>Main branch</t>
        </is>
      </c>
      <c r="H220" s="4" t="n"/>
      <c r="I220" s="4" t="inlineStr">
        <is>
          <t>Issued to clinic rooms</t>
        </is>
      </c>
      <c r="J220" s="4" t="inlineStr">
        <is>
          <t>Reem Abdullah</t>
        </is>
      </c>
    </row>
    <row r="221">
      <c r="A221" s="5" t="n">
        <v>46267</v>
      </c>
      <c r="B221" s="4" t="inlineStr">
        <is>
          <t>INV-041</t>
        </is>
      </c>
      <c r="C221" s="8">
        <f>IF($B221="","",IFERROR(INDEX('Items'!$B$3:$B$202,MATCH($B221,'Items'!$A$3:$A$202,0)),""))</f>
        <v/>
      </c>
      <c r="D221" s="4" t="inlineStr">
        <is>
          <t>L10149</t>
        </is>
      </c>
      <c r="E221" s="4" t="inlineStr">
        <is>
          <t>Out</t>
        </is>
      </c>
      <c r="F221" s="6" t="n">
        <v>1</v>
      </c>
      <c r="G221" s="4" t="inlineStr">
        <is>
          <t>Main branch</t>
        </is>
      </c>
      <c r="H221" s="4" t="n"/>
      <c r="I221" s="4" t="inlineStr">
        <is>
          <t>Issued to clinic rooms</t>
        </is>
      </c>
      <c r="J221" s="4" t="inlineStr">
        <is>
          <t>Omar Hassan</t>
        </is>
      </c>
    </row>
    <row r="222">
      <c r="A222" s="5" t="n">
        <v>46268</v>
      </c>
      <c r="B222" s="4" t="inlineStr">
        <is>
          <t>INV-012</t>
        </is>
      </c>
      <c r="C222" s="8">
        <f>IF($B222="","",IFERROR(INDEX('Items'!$B$3:$B$202,MATCH($B222,'Items'!$A$3:$A$202,0)),""))</f>
        <v/>
      </c>
      <c r="D222" s="4" t="inlineStr">
        <is>
          <t>L11506</t>
        </is>
      </c>
      <c r="E222" s="4" t="inlineStr">
        <is>
          <t>Out</t>
        </is>
      </c>
      <c r="F222" s="6" t="n">
        <v>3</v>
      </c>
      <c r="G222" s="4" t="inlineStr">
        <is>
          <t>North branch</t>
        </is>
      </c>
      <c r="H222" s="4" t="n"/>
      <c r="I222" s="4" t="inlineStr">
        <is>
          <t>Issued to clinic rooms</t>
        </is>
      </c>
      <c r="J222" s="4" t="inlineStr">
        <is>
          <t>Yasmin Ali</t>
        </is>
      </c>
    </row>
    <row r="223">
      <c r="A223" s="5" t="n">
        <v>46268</v>
      </c>
      <c r="B223" s="4" t="inlineStr">
        <is>
          <t>INV-013</t>
        </is>
      </c>
      <c r="C223" s="8">
        <f>IF($B223="","",IFERROR(INDEX('Items'!$B$3:$B$202,MATCH($B223,'Items'!$A$3:$A$202,0)),""))</f>
        <v/>
      </c>
      <c r="D223" s="4" t="inlineStr">
        <is>
          <t>L6719</t>
        </is>
      </c>
      <c r="E223" s="4" t="inlineStr">
        <is>
          <t>Out</t>
        </is>
      </c>
      <c r="F223" s="6" t="n">
        <v>5</v>
      </c>
      <c r="G223" s="4" t="inlineStr">
        <is>
          <t>Main branch</t>
        </is>
      </c>
      <c r="H223" s="4" t="n"/>
      <c r="I223" s="4" t="inlineStr">
        <is>
          <t>Issued to clinic rooms</t>
        </is>
      </c>
      <c r="J223" s="4" t="inlineStr">
        <is>
          <t>Mona Fahad</t>
        </is>
      </c>
    </row>
    <row r="224">
      <c r="A224" s="5" t="n">
        <v>46268</v>
      </c>
      <c r="B224" s="4" t="inlineStr">
        <is>
          <t>INV-020</t>
        </is>
      </c>
      <c r="C224" s="8">
        <f>IF($B224="","",IFERROR(INDEX('Items'!$B$3:$B$202,MATCH($B224,'Items'!$A$3:$A$202,0)),""))</f>
        <v/>
      </c>
      <c r="D224" s="4" t="inlineStr">
        <is>
          <t>L7519</t>
        </is>
      </c>
      <c r="E224" s="4" t="inlineStr">
        <is>
          <t>Out</t>
        </is>
      </c>
      <c r="F224" s="6" t="n">
        <v>1</v>
      </c>
      <c r="G224" s="4" t="inlineStr">
        <is>
          <t>Main branch</t>
        </is>
      </c>
      <c r="H224" s="4" t="n"/>
      <c r="I224" s="4" t="inlineStr">
        <is>
          <t>Issued to clinic rooms</t>
        </is>
      </c>
      <c r="J224" s="4" t="inlineStr">
        <is>
          <t>Fatima Saad</t>
        </is>
      </c>
    </row>
    <row r="225">
      <c r="A225" s="5" t="n">
        <v>46268</v>
      </c>
      <c r="B225" s="4" t="inlineStr">
        <is>
          <t>INV-021</t>
        </is>
      </c>
      <c r="C225" s="8">
        <f>IF($B225="","",IFERROR(INDEX('Items'!$B$3:$B$202,MATCH($B225,'Items'!$A$3:$A$202,0)),""))</f>
        <v/>
      </c>
      <c r="D225" s="4" t="inlineStr">
        <is>
          <t>L7661</t>
        </is>
      </c>
      <c r="E225" s="4" t="inlineStr">
        <is>
          <t>Out</t>
        </is>
      </c>
      <c r="F225" s="6" t="n">
        <v>2</v>
      </c>
      <c r="G225" s="4" t="inlineStr">
        <is>
          <t>Main branch</t>
        </is>
      </c>
      <c r="H225" s="4" t="n"/>
      <c r="I225" s="4" t="inlineStr">
        <is>
          <t>Issued to clinic rooms</t>
        </is>
      </c>
      <c r="J225" s="4" t="inlineStr">
        <is>
          <t>Mona Fahad</t>
        </is>
      </c>
    </row>
    <row r="226">
      <c r="A226" s="5" t="n">
        <v>46268</v>
      </c>
      <c r="B226" s="4" t="inlineStr">
        <is>
          <t>INV-024</t>
        </is>
      </c>
      <c r="C226" s="8">
        <f>IF($B226="","",IFERROR(INDEX('Items'!$B$3:$B$202,MATCH($B226,'Items'!$A$3:$A$202,0)),""))</f>
        <v/>
      </c>
      <c r="D226" s="4" t="inlineStr">
        <is>
          <t>L8237</t>
        </is>
      </c>
      <c r="E226" s="4" t="inlineStr">
        <is>
          <t>Waste</t>
        </is>
      </c>
      <c r="F226" s="6" t="n">
        <v>1</v>
      </c>
      <c r="G226" s="4" t="inlineStr">
        <is>
          <t>Main branch</t>
        </is>
      </c>
      <c r="H226" s="4" t="n"/>
      <c r="I226" s="4" t="inlineStr">
        <is>
          <t>Vial broken</t>
        </is>
      </c>
      <c r="J226" s="4" t="inlineStr">
        <is>
          <t>Fatima Saad</t>
        </is>
      </c>
    </row>
    <row r="227">
      <c r="A227" s="5" t="n">
        <v>46268</v>
      </c>
      <c r="B227" s="4" t="inlineStr">
        <is>
          <t>INV-027</t>
        </is>
      </c>
      <c r="C227" s="8">
        <f>IF($B227="","",IFERROR(INDEX('Items'!$B$3:$B$202,MATCH($B227,'Items'!$A$3:$A$202,0)),""))</f>
        <v/>
      </c>
      <c r="D227" s="4" t="inlineStr">
        <is>
          <t>L8544</t>
        </is>
      </c>
      <c r="E227" s="4" t="inlineStr">
        <is>
          <t>Out</t>
        </is>
      </c>
      <c r="F227" s="6" t="n">
        <v>2</v>
      </c>
      <c r="G227" s="4" t="inlineStr">
        <is>
          <t>Main branch</t>
        </is>
      </c>
      <c r="H227" s="4" t="n"/>
      <c r="I227" s="4" t="inlineStr">
        <is>
          <t>Issued to clinic rooms</t>
        </is>
      </c>
      <c r="J227" s="4" t="inlineStr">
        <is>
          <t>Mona Fahad</t>
        </is>
      </c>
    </row>
    <row r="228">
      <c r="A228" s="5" t="n">
        <v>46268</v>
      </c>
      <c r="B228" s="4" t="inlineStr">
        <is>
          <t>INV-029</t>
        </is>
      </c>
      <c r="C228" s="8">
        <f>IF($B228="","",IFERROR(INDEX('Items'!$B$3:$B$202,MATCH($B228,'Items'!$A$3:$A$202,0)),""))</f>
        <v/>
      </c>
      <c r="D228" s="4" t="inlineStr">
        <is>
          <t>L8800</t>
        </is>
      </c>
      <c r="E228" s="4" t="inlineStr">
        <is>
          <t>Out</t>
        </is>
      </c>
      <c r="F228" s="6" t="n">
        <v>2</v>
      </c>
      <c r="G228" s="4" t="inlineStr">
        <is>
          <t>Main branch</t>
        </is>
      </c>
      <c r="H228" s="4" t="n"/>
      <c r="I228" s="4" t="inlineStr">
        <is>
          <t>Issued to clinic rooms</t>
        </is>
      </c>
      <c r="J228" s="4" t="inlineStr">
        <is>
          <t>Mona Fahad</t>
        </is>
      </c>
    </row>
    <row r="229">
      <c r="A229" s="5" t="n">
        <v>46268</v>
      </c>
      <c r="B229" s="4" t="inlineStr">
        <is>
          <t>INV-037</t>
        </is>
      </c>
      <c r="C229" s="8">
        <f>IF($B229="","",IFERROR(INDEX('Items'!$B$3:$B$202,MATCH($B229,'Items'!$A$3:$A$202,0)),""))</f>
        <v/>
      </c>
      <c r="D229" s="4" t="inlineStr">
        <is>
          <t>L9576</t>
        </is>
      </c>
      <c r="E229" s="4" t="inlineStr">
        <is>
          <t>Out</t>
        </is>
      </c>
      <c r="F229" s="6" t="n">
        <v>4</v>
      </c>
      <c r="G229" s="4" t="inlineStr">
        <is>
          <t>Main branch</t>
        </is>
      </c>
      <c r="H229" s="4" t="n"/>
      <c r="I229" s="4" t="inlineStr">
        <is>
          <t>Issued to clinic rooms</t>
        </is>
      </c>
      <c r="J229" s="4" t="inlineStr">
        <is>
          <t>Reem Abdullah</t>
        </is>
      </c>
    </row>
    <row r="230">
      <c r="A230" s="5" t="n">
        <v>46271</v>
      </c>
      <c r="B230" s="4" t="inlineStr">
        <is>
          <t>INV-003</t>
        </is>
      </c>
      <c r="C230" s="8">
        <f>IF($B230="","",IFERROR(INDEX('Items'!$B$3:$B$202,MATCH($B230,'Items'!$A$3:$A$202,0)),""))</f>
        <v/>
      </c>
      <c r="D230" s="4" t="inlineStr">
        <is>
          <t>L5478</t>
        </is>
      </c>
      <c r="E230" s="4" t="inlineStr">
        <is>
          <t>Transfer</t>
        </is>
      </c>
      <c r="F230" s="6" t="n">
        <v>4</v>
      </c>
      <c r="G230" s="4" t="inlineStr">
        <is>
          <t>Main branch</t>
        </is>
      </c>
      <c r="H230" s="4" t="inlineStr">
        <is>
          <t>North branch</t>
        </is>
      </c>
      <c r="I230" s="4" t="inlineStr">
        <is>
          <t>North branch ran short</t>
        </is>
      </c>
      <c r="J230" s="4" t="inlineStr">
        <is>
          <t>Mona Fahad</t>
        </is>
      </c>
    </row>
    <row r="231">
      <c r="A231" s="5" t="n">
        <v>46271</v>
      </c>
      <c r="B231" s="4" t="inlineStr">
        <is>
          <t>INV-005</t>
        </is>
      </c>
      <c r="C231" s="8">
        <f>IF($B231="","",IFERROR(INDEX('Items'!$B$3:$B$202,MATCH($B231,'Items'!$A$3:$A$202,0)),""))</f>
        <v/>
      </c>
      <c r="D231" s="4" t="inlineStr">
        <is>
          <t>L5721</t>
        </is>
      </c>
      <c r="E231" s="4" t="inlineStr">
        <is>
          <t>Out</t>
        </is>
      </c>
      <c r="F231" s="6" t="n">
        <v>3</v>
      </c>
      <c r="G231" s="4" t="inlineStr">
        <is>
          <t>Main branch</t>
        </is>
      </c>
      <c r="H231" s="4" t="n"/>
      <c r="I231" s="4" t="inlineStr">
        <is>
          <t>Issued to clinic rooms</t>
        </is>
      </c>
      <c r="J231" s="4" t="inlineStr">
        <is>
          <t>Fatima Saad</t>
        </is>
      </c>
    </row>
    <row r="232">
      <c r="A232" s="5" t="n">
        <v>46271</v>
      </c>
      <c r="B232" s="4" t="inlineStr">
        <is>
          <t>INV-020</t>
        </is>
      </c>
      <c r="C232" s="8">
        <f>IF($B232="","",IFERROR(INDEX('Items'!$B$3:$B$202,MATCH($B232,'Items'!$A$3:$A$202,0)),""))</f>
        <v/>
      </c>
      <c r="D232" s="4" t="inlineStr">
        <is>
          <t>L7519</t>
        </is>
      </c>
      <c r="E232" s="4" t="inlineStr">
        <is>
          <t>Out</t>
        </is>
      </c>
      <c r="F232" s="6" t="n">
        <v>1</v>
      </c>
      <c r="G232" s="4" t="inlineStr">
        <is>
          <t>Main branch</t>
        </is>
      </c>
      <c r="H232" s="4" t="n"/>
      <c r="I232" s="4" t="inlineStr">
        <is>
          <t>Issued to clinic rooms</t>
        </is>
      </c>
      <c r="J232" s="4" t="inlineStr">
        <is>
          <t>Mona Fahad</t>
        </is>
      </c>
    </row>
    <row r="233">
      <c r="A233" s="5" t="n">
        <v>46271</v>
      </c>
      <c r="B233" s="4" t="inlineStr">
        <is>
          <t>INV-022</t>
        </is>
      </c>
      <c r="C233" s="8">
        <f>IF($B233="","",IFERROR(INDEX('Items'!$B$3:$B$202,MATCH($B233,'Items'!$A$3:$A$202,0)),""))</f>
        <v/>
      </c>
      <c r="D233" s="4" t="inlineStr">
        <is>
          <t>L7821</t>
        </is>
      </c>
      <c r="E233" s="4" t="inlineStr">
        <is>
          <t>Out</t>
        </is>
      </c>
      <c r="F233" s="6" t="n">
        <v>2</v>
      </c>
      <c r="G233" s="4" t="inlineStr">
        <is>
          <t>Main branch</t>
        </is>
      </c>
      <c r="H233" s="4" t="n"/>
      <c r="I233" s="4" t="inlineStr">
        <is>
          <t>Issued to clinic rooms</t>
        </is>
      </c>
      <c r="J233" s="4" t="inlineStr">
        <is>
          <t>Mona Fahad</t>
        </is>
      </c>
    </row>
    <row r="234">
      <c r="A234" s="5" t="n">
        <v>46271</v>
      </c>
      <c r="B234" s="4" t="inlineStr">
        <is>
          <t>INV-025</t>
        </is>
      </c>
      <c r="C234" s="8">
        <f>IF($B234="","",IFERROR(INDEX('Items'!$B$3:$B$202,MATCH($B234,'Items'!$A$3:$A$202,0)),""))</f>
        <v/>
      </c>
      <c r="D234" s="4" t="inlineStr">
        <is>
          <t>L8335</t>
        </is>
      </c>
      <c r="E234" s="4" t="inlineStr">
        <is>
          <t>Out</t>
        </is>
      </c>
      <c r="F234" s="6" t="n">
        <v>2</v>
      </c>
      <c r="G234" s="4" t="inlineStr">
        <is>
          <t>Main branch</t>
        </is>
      </c>
      <c r="H234" s="4" t="n"/>
      <c r="I234" s="4" t="inlineStr">
        <is>
          <t>Issued to clinic rooms</t>
        </is>
      </c>
      <c r="J234" s="4" t="inlineStr">
        <is>
          <t>Fatima Saad</t>
        </is>
      </c>
    </row>
    <row r="235">
      <c r="A235" s="5" t="n">
        <v>46271</v>
      </c>
      <c r="B235" s="4" t="inlineStr">
        <is>
          <t>INV-040</t>
        </is>
      </c>
      <c r="C235" s="8">
        <f>IF($B235="","",IFERROR(INDEX('Items'!$B$3:$B$202,MATCH($B235,'Items'!$A$3:$A$202,0)),""))</f>
        <v/>
      </c>
      <c r="D235" s="4" t="inlineStr">
        <is>
          <t>L9977</t>
        </is>
      </c>
      <c r="E235" s="4" t="inlineStr">
        <is>
          <t>Out</t>
        </is>
      </c>
      <c r="F235" s="6" t="n">
        <v>1</v>
      </c>
      <c r="G235" s="4" t="inlineStr">
        <is>
          <t>Main branch</t>
        </is>
      </c>
      <c r="H235" s="4" t="n"/>
      <c r="I235" s="4" t="inlineStr">
        <is>
          <t>Issued to clinic rooms</t>
        </is>
      </c>
      <c r="J235" s="4" t="inlineStr">
        <is>
          <t>Reem Abdullah</t>
        </is>
      </c>
    </row>
    <row r="236">
      <c r="A236" s="5" t="n">
        <v>46271</v>
      </c>
      <c r="B236" s="4" t="inlineStr">
        <is>
          <t>INV-044</t>
        </is>
      </c>
      <c r="C236" s="8">
        <f>IF($B236="","",IFERROR(INDEX('Items'!$B$3:$B$202,MATCH($B236,'Items'!$A$3:$A$202,0)),""))</f>
        <v/>
      </c>
      <c r="D236" s="4" t="inlineStr">
        <is>
          <t>L10478</t>
        </is>
      </c>
      <c r="E236" s="4" t="inlineStr">
        <is>
          <t>Out</t>
        </is>
      </c>
      <c r="F236" s="6" t="n">
        <v>1</v>
      </c>
      <c r="G236" s="4" t="inlineStr">
        <is>
          <t>Main branch</t>
        </is>
      </c>
      <c r="H236" s="4" t="n"/>
      <c r="I236" s="4" t="inlineStr">
        <is>
          <t>Issued to clinic rooms</t>
        </is>
      </c>
      <c r="J236" s="4" t="inlineStr">
        <is>
          <t>Reem Abdullah</t>
        </is>
      </c>
    </row>
    <row r="237">
      <c r="A237" s="5" t="n">
        <v>46271</v>
      </c>
      <c r="B237" s="4" t="inlineStr">
        <is>
          <t>INV-045</t>
        </is>
      </c>
      <c r="C237" s="8">
        <f>IF($B237="","",IFERROR(INDEX('Items'!$B$3:$B$202,MATCH($B237,'Items'!$A$3:$A$202,0)),""))</f>
        <v/>
      </c>
      <c r="D237" s="4" t="inlineStr">
        <is>
          <t>L10654</t>
        </is>
      </c>
      <c r="E237" s="4" t="inlineStr">
        <is>
          <t>Out</t>
        </is>
      </c>
      <c r="F237" s="6" t="n">
        <v>2</v>
      </c>
      <c r="G237" s="4" t="inlineStr">
        <is>
          <t>Main branch</t>
        </is>
      </c>
      <c r="H237" s="4" t="n"/>
      <c r="I237" s="4" t="inlineStr">
        <is>
          <t>Issued to clinic rooms</t>
        </is>
      </c>
      <c r="J237" s="4" t="inlineStr">
        <is>
          <t>Omar Hassan</t>
        </is>
      </c>
    </row>
    <row r="238">
      <c r="A238" s="5" t="n">
        <v>46272</v>
      </c>
      <c r="B238" s="4" t="inlineStr">
        <is>
          <t>INV-006</t>
        </is>
      </c>
      <c r="C238" s="8">
        <f>IF($B238="","",IFERROR(INDEX('Items'!$B$3:$B$202,MATCH($B238,'Items'!$A$3:$A$202,0)),""))</f>
        <v/>
      </c>
      <c r="D238" s="4" t="inlineStr">
        <is>
          <t>L5849</t>
        </is>
      </c>
      <c r="E238" s="4" t="inlineStr">
        <is>
          <t>Out</t>
        </is>
      </c>
      <c r="F238" s="6" t="n">
        <v>2</v>
      </c>
      <c r="G238" s="4" t="inlineStr">
        <is>
          <t>Main branch</t>
        </is>
      </c>
      <c r="H238" s="4" t="n"/>
      <c r="I238" s="4" t="inlineStr">
        <is>
          <t>Issued to clinic rooms</t>
        </is>
      </c>
      <c r="J238" s="4" t="inlineStr">
        <is>
          <t>Fatima Saad</t>
        </is>
      </c>
    </row>
    <row r="239">
      <c r="A239" s="5" t="n">
        <v>46272</v>
      </c>
      <c r="B239" s="4" t="inlineStr">
        <is>
          <t>INV-010</t>
        </is>
      </c>
      <c r="C239" s="8">
        <f>IF($B239="","",IFERROR(INDEX('Items'!$B$3:$B$202,MATCH($B239,'Items'!$A$3:$A$202,0)),""))</f>
        <v/>
      </c>
      <c r="D239" s="4" t="inlineStr">
        <is>
          <t>L6327</t>
        </is>
      </c>
      <c r="E239" s="4" t="inlineStr">
        <is>
          <t>Out</t>
        </is>
      </c>
      <c r="F239" s="6" t="n">
        <v>1</v>
      </c>
      <c r="G239" s="4" t="inlineStr">
        <is>
          <t>Main branch</t>
        </is>
      </c>
      <c r="H239" s="4" t="n"/>
      <c r="I239" s="4" t="inlineStr">
        <is>
          <t>Issued to clinic rooms</t>
        </is>
      </c>
      <c r="J239" s="4" t="inlineStr">
        <is>
          <t>Mona Fahad</t>
        </is>
      </c>
    </row>
    <row r="240">
      <c r="A240" s="5" t="n">
        <v>46272</v>
      </c>
      <c r="B240" s="4" t="inlineStr">
        <is>
          <t>INV-012</t>
        </is>
      </c>
      <c r="C240" s="8">
        <f>IF($B240="","",IFERROR(INDEX('Items'!$B$3:$B$202,MATCH($B240,'Items'!$A$3:$A$202,0)),""))</f>
        <v/>
      </c>
      <c r="D240" s="4" t="inlineStr">
        <is>
          <t>L11506</t>
        </is>
      </c>
      <c r="E240" s="4" t="inlineStr">
        <is>
          <t>Out</t>
        </is>
      </c>
      <c r="F240" s="6" t="n">
        <v>3</v>
      </c>
      <c r="G240" s="4" t="inlineStr">
        <is>
          <t>North branch</t>
        </is>
      </c>
      <c r="H240" s="4" t="n"/>
      <c r="I240" s="4" t="inlineStr">
        <is>
          <t>Issued to clinic rooms</t>
        </is>
      </c>
      <c r="J240" s="4" t="inlineStr">
        <is>
          <t>Yasmin Ali</t>
        </is>
      </c>
    </row>
    <row r="241">
      <c r="A241" s="5" t="n">
        <v>46272</v>
      </c>
      <c r="B241" s="4" t="inlineStr">
        <is>
          <t>INV-024</t>
        </is>
      </c>
      <c r="C241" s="8">
        <f>IF($B241="","",IFERROR(INDEX('Items'!$B$3:$B$202,MATCH($B241,'Items'!$A$3:$A$202,0)),""))</f>
        <v/>
      </c>
      <c r="D241" s="4" t="inlineStr">
        <is>
          <t>L8155</t>
        </is>
      </c>
      <c r="E241" s="4" t="inlineStr">
        <is>
          <t>Out</t>
        </is>
      </c>
      <c r="F241" s="6" t="n">
        <v>3</v>
      </c>
      <c r="G241" s="4" t="inlineStr">
        <is>
          <t>Main branch</t>
        </is>
      </c>
      <c r="H241" s="4" t="n"/>
      <c r="I241" s="4" t="inlineStr">
        <is>
          <t>Issued to clinic rooms</t>
        </is>
      </c>
      <c r="J241" s="4" t="inlineStr">
        <is>
          <t>Fatima Saad</t>
        </is>
      </c>
    </row>
    <row r="242">
      <c r="A242" s="5" t="n">
        <v>46272</v>
      </c>
      <c r="B242" s="4" t="inlineStr">
        <is>
          <t>INV-026</t>
        </is>
      </c>
      <c r="C242" s="8">
        <f>IF($B242="","",IFERROR(INDEX('Items'!$B$3:$B$202,MATCH($B242,'Items'!$A$3:$A$202,0)),""))</f>
        <v/>
      </c>
      <c r="D242" s="4" t="inlineStr">
        <is>
          <t>L8443</t>
        </is>
      </c>
      <c r="E242" s="4" t="inlineStr">
        <is>
          <t>Out</t>
        </is>
      </c>
      <c r="F242" s="6" t="n">
        <v>2</v>
      </c>
      <c r="G242" s="4" t="inlineStr">
        <is>
          <t>Main branch</t>
        </is>
      </c>
      <c r="H242" s="4" t="n"/>
      <c r="I242" s="4" t="inlineStr">
        <is>
          <t>Issued to clinic rooms</t>
        </is>
      </c>
      <c r="J242" s="4" t="inlineStr">
        <is>
          <t>Mona Fahad</t>
        </is>
      </c>
    </row>
    <row r="243">
      <c r="A243" s="5" t="n">
        <v>46272</v>
      </c>
      <c r="B243" s="4" t="inlineStr">
        <is>
          <t>INV-029</t>
        </is>
      </c>
      <c r="C243" s="8">
        <f>IF($B243="","",IFERROR(INDEX('Items'!$B$3:$B$202,MATCH($B243,'Items'!$A$3:$A$202,0)),""))</f>
        <v/>
      </c>
      <c r="D243" s="4" t="inlineStr">
        <is>
          <t>L8800</t>
        </is>
      </c>
      <c r="E243" s="4" t="inlineStr">
        <is>
          <t>Out</t>
        </is>
      </c>
      <c r="F243" s="6" t="n">
        <v>2</v>
      </c>
      <c r="G243" s="4" t="inlineStr">
        <is>
          <t>Main branch</t>
        </is>
      </c>
      <c r="H243" s="4" t="n"/>
      <c r="I243" s="4" t="inlineStr">
        <is>
          <t>Issued to clinic rooms</t>
        </is>
      </c>
      <c r="J243" s="4" t="inlineStr">
        <is>
          <t>Mona Fahad</t>
        </is>
      </c>
    </row>
    <row r="244">
      <c r="A244" s="5" t="n">
        <v>46272</v>
      </c>
      <c r="B244" s="4" t="inlineStr">
        <is>
          <t>INV-036</t>
        </is>
      </c>
      <c r="C244" s="8">
        <f>IF($B244="","",IFERROR(INDEX('Items'!$B$3:$B$202,MATCH($B244,'Items'!$A$3:$A$202,0)),""))</f>
        <v/>
      </c>
      <c r="D244" s="4" t="inlineStr">
        <is>
          <t>L9419</t>
        </is>
      </c>
      <c r="E244" s="4" t="inlineStr">
        <is>
          <t>Out</t>
        </is>
      </c>
      <c r="F244" s="6" t="n">
        <v>1</v>
      </c>
      <c r="G244" s="4" t="inlineStr">
        <is>
          <t>Main branch</t>
        </is>
      </c>
      <c r="H244" s="4" t="n"/>
      <c r="I244" s="4" t="inlineStr">
        <is>
          <t>Issued to clinic rooms</t>
        </is>
      </c>
      <c r="J244" s="4" t="inlineStr">
        <is>
          <t>Omar Hassan</t>
        </is>
      </c>
    </row>
    <row r="245">
      <c r="A245" s="5" t="n">
        <v>46273</v>
      </c>
      <c r="B245" s="4" t="inlineStr">
        <is>
          <t>INV-001</t>
        </is>
      </c>
      <c r="C245" s="8">
        <f>IF($B245="","",IFERROR(INDEX('Items'!$B$3:$B$202,MATCH($B245,'Items'!$A$3:$A$202,0)),""))</f>
        <v/>
      </c>
      <c r="D245" s="4" t="inlineStr">
        <is>
          <t>L5068</t>
        </is>
      </c>
      <c r="E245" s="4" t="inlineStr">
        <is>
          <t>Out</t>
        </is>
      </c>
      <c r="F245" s="6" t="n">
        <v>7</v>
      </c>
      <c r="G245" s="4" t="inlineStr">
        <is>
          <t>Main branch</t>
        </is>
      </c>
      <c r="H245" s="4" t="n"/>
      <c r="I245" s="4" t="inlineStr">
        <is>
          <t>Issued to clinic rooms</t>
        </is>
      </c>
      <c r="J245" s="4" t="inlineStr">
        <is>
          <t>Fatima Saad</t>
        </is>
      </c>
    </row>
    <row r="246">
      <c r="A246" s="5" t="n">
        <v>46273</v>
      </c>
      <c r="B246" s="4" t="inlineStr">
        <is>
          <t>INV-001</t>
        </is>
      </c>
      <c r="C246" s="8">
        <f>IF($B246="","",IFERROR(INDEX('Items'!$B$3:$B$202,MATCH($B246,'Items'!$A$3:$A$202,0)),""))</f>
        <v/>
      </c>
      <c r="D246" s="4" t="inlineStr">
        <is>
          <t>L10713</t>
        </is>
      </c>
      <c r="E246" s="4" t="inlineStr">
        <is>
          <t>Out</t>
        </is>
      </c>
      <c r="F246" s="6" t="n">
        <v>2</v>
      </c>
      <c r="G246" s="4" t="inlineStr">
        <is>
          <t>North branch</t>
        </is>
      </c>
      <c r="H246" s="4" t="n"/>
      <c r="I246" s="4" t="inlineStr">
        <is>
          <t>Issued to clinic rooms</t>
        </is>
      </c>
      <c r="J246" s="4" t="inlineStr">
        <is>
          <t>Yasmin Ali</t>
        </is>
      </c>
    </row>
    <row r="247">
      <c r="A247" s="5" t="n">
        <v>46273</v>
      </c>
      <c r="B247" s="4" t="inlineStr">
        <is>
          <t>INV-002</t>
        </is>
      </c>
      <c r="C247" s="8">
        <f>IF($B247="","",IFERROR(INDEX('Items'!$B$3:$B$202,MATCH($B247,'Items'!$A$3:$A$202,0)),""))</f>
        <v/>
      </c>
      <c r="D247" s="4" t="inlineStr">
        <is>
          <t>L5293</t>
        </is>
      </c>
      <c r="E247" s="4" t="inlineStr">
        <is>
          <t>Out</t>
        </is>
      </c>
      <c r="F247" s="6" t="n">
        <v>3</v>
      </c>
      <c r="G247" s="4" t="inlineStr">
        <is>
          <t>Main branch</t>
        </is>
      </c>
      <c r="H247" s="4" t="n"/>
      <c r="I247" s="4" t="inlineStr">
        <is>
          <t>Issued to clinic rooms</t>
        </is>
      </c>
      <c r="J247" s="4" t="inlineStr">
        <is>
          <t>Fatima Saad</t>
        </is>
      </c>
    </row>
    <row r="248">
      <c r="A248" s="5" t="n">
        <v>46273</v>
      </c>
      <c r="B248" s="4" t="inlineStr">
        <is>
          <t>INV-003</t>
        </is>
      </c>
      <c r="C248" s="8">
        <f>IF($B248="","",IFERROR(INDEX('Items'!$B$3:$B$202,MATCH($B248,'Items'!$A$3:$A$202,0)),""))</f>
        <v/>
      </c>
      <c r="D248" s="4" t="inlineStr">
        <is>
          <t>L10883</t>
        </is>
      </c>
      <c r="E248" s="4" t="inlineStr">
        <is>
          <t>Out</t>
        </is>
      </c>
      <c r="F248" s="6" t="n">
        <v>2</v>
      </c>
      <c r="G248" s="4" t="inlineStr">
        <is>
          <t>North branch</t>
        </is>
      </c>
      <c r="H248" s="4" t="n"/>
      <c r="I248" s="4" t="inlineStr">
        <is>
          <t>Issued to clinic rooms</t>
        </is>
      </c>
      <c r="J248" s="4" t="inlineStr">
        <is>
          <t>Yasmin Ali</t>
        </is>
      </c>
    </row>
    <row r="249">
      <c r="A249" s="5" t="n">
        <v>46273</v>
      </c>
      <c r="B249" s="4" t="inlineStr">
        <is>
          <t>INV-004</t>
        </is>
      </c>
      <c r="C249" s="8">
        <f>IF($B249="","",IFERROR(INDEX('Items'!$B$3:$B$202,MATCH($B249,'Items'!$A$3:$A$202,0)),""))</f>
        <v/>
      </c>
      <c r="D249" s="4" t="inlineStr">
        <is>
          <t>L11058</t>
        </is>
      </c>
      <c r="E249" s="4" t="inlineStr">
        <is>
          <t>Out</t>
        </is>
      </c>
      <c r="F249" s="6" t="n">
        <v>2</v>
      </c>
      <c r="G249" s="4" t="inlineStr">
        <is>
          <t>North branch</t>
        </is>
      </c>
      <c r="H249" s="4" t="n"/>
      <c r="I249" s="4" t="inlineStr">
        <is>
          <t>Issued to clinic rooms</t>
        </is>
      </c>
      <c r="J249" s="4" t="inlineStr">
        <is>
          <t>Yasmin Ali</t>
        </is>
      </c>
    </row>
    <row r="250">
      <c r="A250" s="5" t="n">
        <v>46273</v>
      </c>
      <c r="B250" s="4" t="inlineStr">
        <is>
          <t>INV-011</t>
        </is>
      </c>
      <c r="C250" s="8">
        <f>IF($B250="","",IFERROR(INDEX('Items'!$B$3:$B$202,MATCH($B250,'Items'!$A$3:$A$202,0)),""))</f>
        <v/>
      </c>
      <c r="D250" s="4" t="inlineStr">
        <is>
          <t>L6436</t>
        </is>
      </c>
      <c r="E250" s="4" t="inlineStr">
        <is>
          <t>Out</t>
        </is>
      </c>
      <c r="F250" s="6" t="n">
        <v>4</v>
      </c>
      <c r="G250" s="4" t="inlineStr">
        <is>
          <t>Main branch</t>
        </is>
      </c>
      <c r="H250" s="4" t="n"/>
      <c r="I250" s="4" t="inlineStr">
        <is>
          <t>Issued to clinic rooms</t>
        </is>
      </c>
      <c r="J250" s="4" t="inlineStr">
        <is>
          <t>Fatima Saad</t>
        </is>
      </c>
    </row>
    <row r="251">
      <c r="A251" s="5" t="n">
        <v>46273</v>
      </c>
      <c r="B251" s="4" t="inlineStr">
        <is>
          <t>INV-016</t>
        </is>
      </c>
      <c r="C251" s="8">
        <f>IF($B251="","",IFERROR(INDEX('Items'!$B$3:$B$202,MATCH($B251,'Items'!$A$3:$A$202,0)),""))</f>
        <v/>
      </c>
      <c r="D251" s="4" t="inlineStr">
        <is>
          <t>L6967</t>
        </is>
      </c>
      <c r="E251" s="4" t="inlineStr">
        <is>
          <t>Out</t>
        </is>
      </c>
      <c r="F251" s="6" t="n">
        <v>3</v>
      </c>
      <c r="G251" s="4" t="inlineStr">
        <is>
          <t>Main branch</t>
        </is>
      </c>
      <c r="H251" s="4" t="n"/>
      <c r="I251" s="4" t="inlineStr">
        <is>
          <t>Issued to clinic rooms</t>
        </is>
      </c>
      <c r="J251" s="4" t="inlineStr">
        <is>
          <t>Fatima Saad</t>
        </is>
      </c>
    </row>
    <row r="252">
      <c r="A252" s="5" t="n">
        <v>46273</v>
      </c>
      <c r="B252" s="4" t="inlineStr">
        <is>
          <t>INV-017</t>
        </is>
      </c>
      <c r="C252" s="8">
        <f>IF($B252="","",IFERROR(INDEX('Items'!$B$3:$B$202,MATCH($B252,'Items'!$A$3:$A$202,0)),""))</f>
        <v/>
      </c>
      <c r="D252" s="4" t="inlineStr">
        <is>
          <t>L11671</t>
        </is>
      </c>
      <c r="E252" s="4" t="inlineStr">
        <is>
          <t>Out</t>
        </is>
      </c>
      <c r="F252" s="6" t="n">
        <v>3</v>
      </c>
      <c r="G252" s="4" t="inlineStr">
        <is>
          <t>North branch</t>
        </is>
      </c>
      <c r="H252" s="4" t="n"/>
      <c r="I252" s="4" t="inlineStr">
        <is>
          <t>Issued to clinic rooms</t>
        </is>
      </c>
      <c r="J252" s="4" t="inlineStr">
        <is>
          <t>Yasmin Ali</t>
        </is>
      </c>
    </row>
    <row r="253">
      <c r="A253" s="5" t="n">
        <v>46273</v>
      </c>
      <c r="B253" s="4" t="inlineStr">
        <is>
          <t>INV-021</t>
        </is>
      </c>
      <c r="C253" s="8">
        <f>IF($B253="","",IFERROR(INDEX('Items'!$B$3:$B$202,MATCH($B253,'Items'!$A$3:$A$202,0)),""))</f>
        <v/>
      </c>
      <c r="D253" s="4" t="inlineStr">
        <is>
          <t>L7661</t>
        </is>
      </c>
      <c r="E253" s="4" t="inlineStr">
        <is>
          <t>Out</t>
        </is>
      </c>
      <c r="F253" s="6" t="n">
        <v>2</v>
      </c>
      <c r="G253" s="4" t="inlineStr">
        <is>
          <t>Main branch</t>
        </is>
      </c>
      <c r="H253" s="4" t="n"/>
      <c r="I253" s="4" t="inlineStr">
        <is>
          <t>Issued to clinic rooms</t>
        </is>
      </c>
      <c r="J253" s="4" t="inlineStr">
        <is>
          <t>Mona Fahad</t>
        </is>
      </c>
    </row>
    <row r="254">
      <c r="A254" s="5" t="n">
        <v>46273</v>
      </c>
      <c r="B254" s="4" t="inlineStr">
        <is>
          <t>INV-037</t>
        </is>
      </c>
      <c r="C254" s="8">
        <f>IF($B254="","",IFERROR(INDEX('Items'!$B$3:$B$202,MATCH($B254,'Items'!$A$3:$A$202,0)),""))</f>
        <v/>
      </c>
      <c r="D254" s="4" t="inlineStr">
        <is>
          <t>L9576</t>
        </is>
      </c>
      <c r="E254" s="4" t="inlineStr">
        <is>
          <t>Out</t>
        </is>
      </c>
      <c r="F254" s="6" t="n">
        <v>4</v>
      </c>
      <c r="G254" s="4" t="inlineStr">
        <is>
          <t>Main branch</t>
        </is>
      </c>
      <c r="H254" s="4" t="n"/>
      <c r="I254" s="4" t="inlineStr">
        <is>
          <t>Issued to clinic rooms</t>
        </is>
      </c>
      <c r="J254" s="4" t="inlineStr">
        <is>
          <t>Omar Hassan</t>
        </is>
      </c>
    </row>
    <row r="255">
      <c r="A255" s="5" t="n">
        <v>46274</v>
      </c>
      <c r="B255" s="4" t="inlineStr">
        <is>
          <t>INV-007</t>
        </is>
      </c>
      <c r="C255" s="8">
        <f>IF($B255="","",IFERROR(INDEX('Items'!$B$3:$B$202,MATCH($B255,'Items'!$A$3:$A$202,0)),""))</f>
        <v/>
      </c>
      <c r="D255" s="4" t="inlineStr">
        <is>
          <t>L6036</t>
        </is>
      </c>
      <c r="E255" s="4" t="inlineStr">
        <is>
          <t>Out</t>
        </is>
      </c>
      <c r="F255" s="6" t="n">
        <v>2</v>
      </c>
      <c r="G255" s="4" t="inlineStr">
        <is>
          <t>Main branch</t>
        </is>
      </c>
      <c r="H255" s="4" t="n"/>
      <c r="I255" s="4" t="inlineStr">
        <is>
          <t>Issued to clinic rooms</t>
        </is>
      </c>
      <c r="J255" s="4" t="inlineStr">
        <is>
          <t>Fatima Saad</t>
        </is>
      </c>
    </row>
    <row r="256">
      <c r="A256" s="5" t="n">
        <v>46274</v>
      </c>
      <c r="B256" s="4" t="inlineStr">
        <is>
          <t>INV-010</t>
        </is>
      </c>
      <c r="C256" s="8">
        <f>IF($B256="","",IFERROR(INDEX('Items'!$B$3:$B$202,MATCH($B256,'Items'!$A$3:$A$202,0)),""))</f>
        <v/>
      </c>
      <c r="D256" s="4" t="inlineStr">
        <is>
          <t>L11213</t>
        </is>
      </c>
      <c r="E256" s="4" t="inlineStr">
        <is>
          <t>Out</t>
        </is>
      </c>
      <c r="F256" s="6" t="n">
        <v>1</v>
      </c>
      <c r="G256" s="4" t="inlineStr">
        <is>
          <t>North branch</t>
        </is>
      </c>
      <c r="H256" s="4" t="n"/>
      <c r="I256" s="4" t="inlineStr">
        <is>
          <t>Issued to clinic rooms</t>
        </is>
      </c>
      <c r="J256" s="4" t="inlineStr">
        <is>
          <t>Yasmin Ali</t>
        </is>
      </c>
    </row>
    <row r="257">
      <c r="A257" s="5" t="n">
        <v>46274</v>
      </c>
      <c r="B257" s="4" t="inlineStr">
        <is>
          <t>INV-011</t>
        </is>
      </c>
      <c r="C257" s="8">
        <f>IF($B257="","",IFERROR(INDEX('Items'!$B$3:$B$202,MATCH($B257,'Items'!$A$3:$A$202,0)),""))</f>
        <v/>
      </c>
      <c r="D257" s="4" t="inlineStr">
        <is>
          <t>L11452</t>
        </is>
      </c>
      <c r="E257" s="4" t="inlineStr">
        <is>
          <t>Out</t>
        </is>
      </c>
      <c r="F257" s="6" t="n">
        <v>2</v>
      </c>
      <c r="G257" s="4" t="inlineStr">
        <is>
          <t>North branch</t>
        </is>
      </c>
      <c r="H257" s="4" t="n"/>
      <c r="I257" s="4" t="inlineStr">
        <is>
          <t>Issued to clinic rooms</t>
        </is>
      </c>
      <c r="J257" s="4" t="inlineStr">
        <is>
          <t>Yasmin Ali</t>
        </is>
      </c>
    </row>
    <row r="258">
      <c r="A258" s="5" t="n">
        <v>46274</v>
      </c>
      <c r="B258" s="4" t="inlineStr">
        <is>
          <t>INV-013</t>
        </is>
      </c>
      <c r="C258" s="8">
        <f>IF($B258="","",IFERROR(INDEX('Items'!$B$3:$B$202,MATCH($B258,'Items'!$A$3:$A$202,0)),""))</f>
        <v/>
      </c>
      <c r="D258" s="4" t="inlineStr">
        <is>
          <t>L6719</t>
        </is>
      </c>
      <c r="E258" s="4" t="inlineStr">
        <is>
          <t>Out</t>
        </is>
      </c>
      <c r="F258" s="6" t="n">
        <v>3</v>
      </c>
      <c r="G258" s="4" t="inlineStr">
        <is>
          <t>Main branch</t>
        </is>
      </c>
      <c r="H258" s="4" t="n"/>
      <c r="I258" s="4" t="inlineStr">
        <is>
          <t>Issued to clinic rooms</t>
        </is>
      </c>
      <c r="J258" s="4" t="inlineStr">
        <is>
          <t>Mona Fahad</t>
        </is>
      </c>
    </row>
    <row r="259">
      <c r="A259" s="5" t="n">
        <v>46274</v>
      </c>
      <c r="B259" s="4" t="inlineStr">
        <is>
          <t>INV-018</t>
        </is>
      </c>
      <c r="C259" s="8">
        <f>IF($B259="","",IFERROR(INDEX('Items'!$B$3:$B$202,MATCH($B259,'Items'!$A$3:$A$202,0)),""))</f>
        <v/>
      </c>
      <c r="D259" s="4" t="inlineStr">
        <is>
          <t>L7150</t>
        </is>
      </c>
      <c r="E259" s="4" t="inlineStr">
        <is>
          <t>Out</t>
        </is>
      </c>
      <c r="F259" s="6" t="n">
        <v>1</v>
      </c>
      <c r="G259" s="4" t="inlineStr">
        <is>
          <t>Main branch</t>
        </is>
      </c>
      <c r="H259" s="4" t="n"/>
      <c r="I259" s="4" t="inlineStr">
        <is>
          <t>Issued to clinic rooms</t>
        </is>
      </c>
      <c r="J259" s="4" t="inlineStr">
        <is>
          <t>Fatima Saad</t>
        </is>
      </c>
    </row>
    <row r="260">
      <c r="A260" s="5" t="n">
        <v>46274</v>
      </c>
      <c r="B260" s="4" t="inlineStr">
        <is>
          <t>INV-019</t>
        </is>
      </c>
      <c r="C260" s="8">
        <f>IF($B260="","",IFERROR(INDEX('Items'!$B$3:$B$202,MATCH($B260,'Items'!$A$3:$A$202,0)),""))</f>
        <v/>
      </c>
      <c r="D260" s="4" t="inlineStr">
        <is>
          <t>L7336</t>
        </is>
      </c>
      <c r="E260" s="4" t="inlineStr">
        <is>
          <t>Out</t>
        </is>
      </c>
      <c r="F260" s="6" t="n">
        <v>4</v>
      </c>
      <c r="G260" s="4" t="inlineStr">
        <is>
          <t>Main branch</t>
        </is>
      </c>
      <c r="H260" s="4" t="n"/>
      <c r="I260" s="4" t="inlineStr">
        <is>
          <t>Issued to clinic rooms</t>
        </is>
      </c>
      <c r="J260" s="4" t="inlineStr">
        <is>
          <t>Fatima Saad</t>
        </is>
      </c>
    </row>
    <row r="261">
      <c r="A261" s="5" t="n">
        <v>46274</v>
      </c>
      <c r="B261" s="4" t="inlineStr">
        <is>
          <t>INV-027</t>
        </is>
      </c>
      <c r="C261" s="8">
        <f>IF($B261="","",IFERROR(INDEX('Items'!$B$3:$B$202,MATCH($B261,'Items'!$A$3:$A$202,0)),""))</f>
        <v/>
      </c>
      <c r="D261" s="4" t="inlineStr">
        <is>
          <t>L8544</t>
        </is>
      </c>
      <c r="E261" s="4" t="inlineStr">
        <is>
          <t>Out</t>
        </is>
      </c>
      <c r="F261" s="6" t="n">
        <v>4</v>
      </c>
      <c r="G261" s="4" t="inlineStr">
        <is>
          <t>Main branch</t>
        </is>
      </c>
      <c r="H261" s="4" t="n"/>
      <c r="I261" s="4" t="inlineStr">
        <is>
          <t>Issued to clinic rooms</t>
        </is>
      </c>
      <c r="J261" s="4" t="inlineStr">
        <is>
          <t>Mona Fahad</t>
        </is>
      </c>
    </row>
    <row r="262">
      <c r="A262" s="5" t="n">
        <v>46274</v>
      </c>
      <c r="B262" s="4" t="inlineStr">
        <is>
          <t>INV-033</t>
        </is>
      </c>
      <c r="C262" s="8">
        <f>IF($B262="","",IFERROR(INDEX('Items'!$B$3:$B$202,MATCH($B262,'Items'!$A$3:$A$202,0)),""))</f>
        <v/>
      </c>
      <c r="D262" s="4" t="inlineStr">
        <is>
          <t>L11793</t>
        </is>
      </c>
      <c r="E262" s="4" t="inlineStr">
        <is>
          <t>Out</t>
        </is>
      </c>
      <c r="F262" s="6" t="n">
        <v>2</v>
      </c>
      <c r="G262" s="4" t="inlineStr">
        <is>
          <t>North branch</t>
        </is>
      </c>
      <c r="H262" s="4" t="n"/>
      <c r="I262" s="4" t="inlineStr">
        <is>
          <t>Issued to clinic rooms</t>
        </is>
      </c>
      <c r="J262" s="4" t="inlineStr">
        <is>
          <t>Yasmin Ali</t>
        </is>
      </c>
    </row>
    <row r="263">
      <c r="A263" s="5" t="n">
        <v>46274</v>
      </c>
      <c r="B263" s="4" t="inlineStr">
        <is>
          <t>INV-038</t>
        </is>
      </c>
      <c r="C263" s="8">
        <f>IF($B263="","",IFERROR(INDEX('Items'!$B$3:$B$202,MATCH($B263,'Items'!$A$3:$A$202,0)),""))</f>
        <v/>
      </c>
      <c r="D263" s="4" t="inlineStr">
        <is>
          <t>L9742</t>
        </is>
      </c>
      <c r="E263" s="4" t="inlineStr">
        <is>
          <t>Out</t>
        </is>
      </c>
      <c r="F263" s="6" t="n">
        <v>6</v>
      </c>
      <c r="G263" s="4" t="inlineStr">
        <is>
          <t>Main branch</t>
        </is>
      </c>
      <c r="H263" s="4" t="n"/>
      <c r="I263" s="4" t="inlineStr">
        <is>
          <t>Issued to clinic rooms</t>
        </is>
      </c>
      <c r="J263" s="4" t="inlineStr">
        <is>
          <t>Reem Abdullah</t>
        </is>
      </c>
    </row>
    <row r="264">
      <c r="A264" s="5" t="n">
        <v>46275</v>
      </c>
      <c r="B264" s="4" t="inlineStr">
        <is>
          <t>INV-003</t>
        </is>
      </c>
      <c r="C264" s="8">
        <f>IF($B264="","",IFERROR(INDEX('Items'!$B$3:$B$202,MATCH($B264,'Items'!$A$3:$A$202,0)),""))</f>
        <v/>
      </c>
      <c r="D264" s="4" t="inlineStr">
        <is>
          <t>L5441</t>
        </is>
      </c>
      <c r="E264" s="4" t="inlineStr">
        <is>
          <t>Out</t>
        </is>
      </c>
      <c r="F264" s="6" t="n">
        <v>5</v>
      </c>
      <c r="G264" s="4" t="inlineStr">
        <is>
          <t>Main branch</t>
        </is>
      </c>
      <c r="H264" s="4" t="n"/>
      <c r="I264" s="4" t="inlineStr">
        <is>
          <t>Issued to clinic rooms</t>
        </is>
      </c>
      <c r="J264" s="4" t="inlineStr">
        <is>
          <t>Fatima Saad</t>
        </is>
      </c>
    </row>
    <row r="265">
      <c r="A265" s="5" t="n">
        <v>46275</v>
      </c>
      <c r="B265" s="4" t="inlineStr">
        <is>
          <t>INV-004</t>
        </is>
      </c>
      <c r="C265" s="8">
        <f>IF($B265="","",IFERROR(INDEX('Items'!$B$3:$B$202,MATCH($B265,'Items'!$A$3:$A$202,0)),""))</f>
        <v/>
      </c>
      <c r="D265" s="4" t="inlineStr">
        <is>
          <t>L5610</t>
        </is>
      </c>
      <c r="E265" s="4" t="inlineStr">
        <is>
          <t>Out</t>
        </is>
      </c>
      <c r="F265" s="6" t="n">
        <v>5</v>
      </c>
      <c r="G265" s="4" t="inlineStr">
        <is>
          <t>Main branch</t>
        </is>
      </c>
      <c r="H265" s="4" t="n"/>
      <c r="I265" s="4" t="inlineStr">
        <is>
          <t>Issued to clinic rooms</t>
        </is>
      </c>
      <c r="J265" s="4" t="inlineStr">
        <is>
          <t>Fatima Saad</t>
        </is>
      </c>
    </row>
    <row r="266">
      <c r="A266" s="5" t="n">
        <v>46275</v>
      </c>
      <c r="B266" s="4" t="inlineStr">
        <is>
          <t>INV-008</t>
        </is>
      </c>
      <c r="C266" s="8">
        <f>IF($B266="","",IFERROR(INDEX('Items'!$B$3:$B$202,MATCH($B266,'Items'!$A$3:$A$202,0)),""))</f>
        <v/>
      </c>
      <c r="D266" s="4" t="inlineStr">
        <is>
          <t>L6138</t>
        </is>
      </c>
      <c r="E266" s="4" t="inlineStr">
        <is>
          <t>Out</t>
        </is>
      </c>
      <c r="F266" s="6" t="n">
        <v>2</v>
      </c>
      <c r="G266" s="4" t="inlineStr">
        <is>
          <t>Main branch</t>
        </is>
      </c>
      <c r="H266" s="4" t="n"/>
      <c r="I266" s="4" t="inlineStr">
        <is>
          <t>Issued to clinic rooms</t>
        </is>
      </c>
      <c r="J266" s="4" t="inlineStr">
        <is>
          <t>Mona Fahad</t>
        </is>
      </c>
    </row>
    <row r="267">
      <c r="A267" s="5" t="n">
        <v>46275</v>
      </c>
      <c r="B267" s="4" t="inlineStr">
        <is>
          <t>INV-012</t>
        </is>
      </c>
      <c r="C267" s="8">
        <f>IF($B267="","",IFERROR(INDEX('Items'!$B$3:$B$202,MATCH($B267,'Items'!$A$3:$A$202,0)),""))</f>
        <v/>
      </c>
      <c r="D267" s="4" t="inlineStr">
        <is>
          <t>L6568</t>
        </is>
      </c>
      <c r="E267" s="4" t="inlineStr">
        <is>
          <t>Out</t>
        </is>
      </c>
      <c r="F267" s="6" t="n">
        <v>5</v>
      </c>
      <c r="G267" s="4" t="inlineStr">
        <is>
          <t>Main branch</t>
        </is>
      </c>
      <c r="H267" s="4" t="n"/>
      <c r="I267" s="4" t="inlineStr">
        <is>
          <t>Issued to clinic rooms</t>
        </is>
      </c>
      <c r="J267" s="4" t="inlineStr">
        <is>
          <t>Fatima Saad</t>
        </is>
      </c>
    </row>
    <row r="268">
      <c r="A268" s="5" t="n">
        <v>46275</v>
      </c>
      <c r="B268" s="4" t="inlineStr">
        <is>
          <t>INV-014</t>
        </is>
      </c>
      <c r="C268" s="8">
        <f>IF($B268="","",IFERROR(INDEX('Items'!$B$3:$B$202,MATCH($B268,'Items'!$A$3:$A$202,0)),""))</f>
        <v/>
      </c>
      <c r="D268" s="4" t="inlineStr">
        <is>
          <t>L6777</t>
        </is>
      </c>
      <c r="E268" s="4" t="inlineStr">
        <is>
          <t>Out</t>
        </is>
      </c>
      <c r="F268" s="6" t="n">
        <v>2</v>
      </c>
      <c r="G268" s="4" t="inlineStr">
        <is>
          <t>Main branch</t>
        </is>
      </c>
      <c r="H268" s="4" t="n"/>
      <c r="I268" s="4" t="inlineStr">
        <is>
          <t>Issued to clinic rooms</t>
        </is>
      </c>
      <c r="J268" s="4" t="inlineStr">
        <is>
          <t>Mona Fahad</t>
        </is>
      </c>
    </row>
    <row r="269">
      <c r="A269" s="5" t="n">
        <v>46275</v>
      </c>
      <c r="B269" s="4" t="inlineStr">
        <is>
          <t>INV-017</t>
        </is>
      </c>
      <c r="C269" s="8">
        <f>IF($B269="","",IFERROR(INDEX('Items'!$B$3:$B$202,MATCH($B269,'Items'!$A$3:$A$202,0)),""))</f>
        <v/>
      </c>
      <c r="D269" s="4" t="inlineStr">
        <is>
          <t>L7038</t>
        </is>
      </c>
      <c r="E269" s="4" t="inlineStr">
        <is>
          <t>Out</t>
        </is>
      </c>
      <c r="F269" s="6" t="n">
        <v>5</v>
      </c>
      <c r="G269" s="4" t="inlineStr">
        <is>
          <t>Main branch</t>
        </is>
      </c>
      <c r="H269" s="4" t="n"/>
      <c r="I269" s="4" t="inlineStr">
        <is>
          <t>Issued to clinic rooms</t>
        </is>
      </c>
      <c r="J269" s="4" t="inlineStr">
        <is>
          <t>Fatima Saad</t>
        </is>
      </c>
    </row>
    <row r="270">
      <c r="A270" s="5" t="n">
        <v>46275</v>
      </c>
      <c r="B270" s="4" t="inlineStr">
        <is>
          <t>INV-023</t>
        </is>
      </c>
      <c r="C270" s="8">
        <f>IF($B270="","",IFERROR(INDEX('Items'!$B$3:$B$202,MATCH($B270,'Items'!$A$3:$A$202,0)),""))</f>
        <v/>
      </c>
      <c r="D270" s="4" t="inlineStr">
        <is>
          <t>L8051</t>
        </is>
      </c>
      <c r="E270" s="4" t="inlineStr">
        <is>
          <t>Out</t>
        </is>
      </c>
      <c r="F270" s="6" t="n">
        <v>3</v>
      </c>
      <c r="G270" s="4" t="inlineStr">
        <is>
          <t>Main branch</t>
        </is>
      </c>
      <c r="H270" s="4" t="n"/>
      <c r="I270" s="4" t="inlineStr">
        <is>
          <t>Issued to clinic rooms</t>
        </is>
      </c>
      <c r="J270" s="4" t="inlineStr">
        <is>
          <t>Fatima Saad</t>
        </is>
      </c>
    </row>
    <row r="271">
      <c r="A271" s="5" t="n">
        <v>46275</v>
      </c>
      <c r="B271" s="4" t="inlineStr">
        <is>
          <t>INV-033</t>
        </is>
      </c>
      <c r="C271" s="8">
        <f>IF($B271="","",IFERROR(INDEX('Items'!$B$3:$B$202,MATCH($B271,'Items'!$A$3:$A$202,0)),""))</f>
        <v/>
      </c>
      <c r="D271" s="4" t="inlineStr">
        <is>
          <t>L9098</t>
        </is>
      </c>
      <c r="E271" s="4" t="inlineStr">
        <is>
          <t>Out</t>
        </is>
      </c>
      <c r="F271" s="6" t="n">
        <v>2</v>
      </c>
      <c r="G271" s="4" t="inlineStr">
        <is>
          <t>Main branch</t>
        </is>
      </c>
      <c r="H271" s="4" t="n"/>
      <c r="I271" s="4" t="inlineStr">
        <is>
          <t>Issued to clinic rooms</t>
        </is>
      </c>
      <c r="J271" s="4" t="inlineStr">
        <is>
          <t>Reem Abdullah</t>
        </is>
      </c>
    </row>
    <row r="272">
      <c r="A272" s="5" t="n">
        <v>46275</v>
      </c>
      <c r="B272" s="4" t="inlineStr">
        <is>
          <t>INV-034</t>
        </is>
      </c>
      <c r="C272" s="8">
        <f>IF($B272="","",IFERROR(INDEX('Items'!$B$3:$B$202,MATCH($B272,'Items'!$A$3:$A$202,0)),""))</f>
        <v/>
      </c>
      <c r="D272" s="4" t="inlineStr">
        <is>
          <t>L9240</t>
        </is>
      </c>
      <c r="E272" s="4" t="inlineStr">
        <is>
          <t>Out</t>
        </is>
      </c>
      <c r="F272" s="6" t="n">
        <v>1</v>
      </c>
      <c r="G272" s="4" t="inlineStr">
        <is>
          <t>Main branch</t>
        </is>
      </c>
      <c r="H272" s="4" t="n"/>
      <c r="I272" s="4" t="inlineStr">
        <is>
          <t>Issued to clinic rooms</t>
        </is>
      </c>
      <c r="J272" s="4" t="inlineStr">
        <is>
          <t>Omar Hassan</t>
        </is>
      </c>
    </row>
    <row r="273">
      <c r="A273" s="5" t="n">
        <v>46275</v>
      </c>
      <c r="B273" s="4" t="inlineStr">
        <is>
          <t>INV-043</t>
        </is>
      </c>
      <c r="C273" s="8">
        <f>IF($B273="","",IFERROR(INDEX('Items'!$B$3:$B$202,MATCH($B273,'Items'!$A$3:$A$202,0)),""))</f>
        <v/>
      </c>
      <c r="D273" s="4" t="inlineStr">
        <is>
          <t>L10382</t>
        </is>
      </c>
      <c r="E273" s="4" t="inlineStr">
        <is>
          <t>Out</t>
        </is>
      </c>
      <c r="F273" s="6" t="n">
        <v>2</v>
      </c>
      <c r="G273" s="4" t="inlineStr">
        <is>
          <t>Main branch</t>
        </is>
      </c>
      <c r="H273" s="4" t="n"/>
      <c r="I273" s="4" t="inlineStr">
        <is>
          <t>Issued to clinic rooms</t>
        </is>
      </c>
      <c r="J273" s="4" t="inlineStr">
        <is>
          <t>Reem Abdullah</t>
        </is>
      </c>
    </row>
    <row r="274">
      <c r="A274" s="5" t="n">
        <v>46278</v>
      </c>
      <c r="B274" s="4" t="inlineStr">
        <is>
          <t>INV-003</t>
        </is>
      </c>
      <c r="C274" s="8">
        <f>IF($B274="","",IFERROR(INDEX('Items'!$B$3:$B$202,MATCH($B274,'Items'!$A$3:$A$202,0)),""))</f>
        <v/>
      </c>
      <c r="D274" s="4" t="inlineStr">
        <is>
          <t>L10964</t>
        </is>
      </c>
      <c r="E274" s="4" t="inlineStr">
        <is>
          <t>Out</t>
        </is>
      </c>
      <c r="F274" s="6" t="n">
        <v>3</v>
      </c>
      <c r="G274" s="4" t="inlineStr">
        <is>
          <t>North branch</t>
        </is>
      </c>
      <c r="H274" s="4" t="n"/>
      <c r="I274" s="4" t="inlineStr">
        <is>
          <t>Issued to clinic rooms</t>
        </is>
      </c>
      <c r="J274" s="4" t="inlineStr">
        <is>
          <t>Yasmin Ali</t>
        </is>
      </c>
    </row>
    <row r="275">
      <c r="A275" s="5" t="n">
        <v>46278</v>
      </c>
      <c r="B275" s="4" t="inlineStr">
        <is>
          <t>INV-012</t>
        </is>
      </c>
      <c r="C275" s="8">
        <f>IF($B275="","",IFERROR(INDEX('Items'!$B$3:$B$202,MATCH($B275,'Items'!$A$3:$A$202,0)),""))</f>
        <v/>
      </c>
      <c r="D275" s="4" t="inlineStr">
        <is>
          <t>L11575</t>
        </is>
      </c>
      <c r="E275" s="4" t="inlineStr">
        <is>
          <t>Out</t>
        </is>
      </c>
      <c r="F275" s="6" t="n">
        <v>3</v>
      </c>
      <c r="G275" s="4" t="inlineStr">
        <is>
          <t>North branch</t>
        </is>
      </c>
      <c r="H275" s="4" t="n"/>
      <c r="I275" s="4" t="inlineStr">
        <is>
          <t>Issued to clinic rooms</t>
        </is>
      </c>
      <c r="J275" s="4" t="inlineStr">
        <is>
          <t>Yasmin Ali</t>
        </is>
      </c>
    </row>
    <row r="276">
      <c r="A276" s="5" t="n">
        <v>46278</v>
      </c>
      <c r="B276" s="4" t="inlineStr">
        <is>
          <t>INV-016</t>
        </is>
      </c>
      <c r="C276" s="8">
        <f>IF($B276="","",IFERROR(INDEX('Items'!$B$3:$B$202,MATCH($B276,'Items'!$A$3:$A$202,0)),""))</f>
        <v/>
      </c>
      <c r="D276" s="4" t="inlineStr">
        <is>
          <t>L6967</t>
        </is>
      </c>
      <c r="E276" s="4" t="inlineStr">
        <is>
          <t>Out</t>
        </is>
      </c>
      <c r="F276" s="6" t="n">
        <v>4</v>
      </c>
      <c r="G276" s="4" t="inlineStr">
        <is>
          <t>Main branch</t>
        </is>
      </c>
      <c r="H276" s="4" t="n"/>
      <c r="I276" s="4" t="inlineStr">
        <is>
          <t>Issued to clinic rooms</t>
        </is>
      </c>
      <c r="J276" s="4" t="inlineStr">
        <is>
          <t>Mona Fahad</t>
        </is>
      </c>
    </row>
    <row r="277">
      <c r="A277" s="5" t="n">
        <v>46278</v>
      </c>
      <c r="B277" s="4" t="inlineStr">
        <is>
          <t>INV-021</t>
        </is>
      </c>
      <c r="C277" s="8">
        <f>IF($B277="","",IFERROR(INDEX('Items'!$B$3:$B$202,MATCH($B277,'Items'!$A$3:$A$202,0)),""))</f>
        <v/>
      </c>
      <c r="D277" s="4" t="inlineStr">
        <is>
          <t>L7749</t>
        </is>
      </c>
      <c r="E277" s="4" t="inlineStr">
        <is>
          <t>Out</t>
        </is>
      </c>
      <c r="F277" s="6" t="n">
        <v>2</v>
      </c>
      <c r="G277" s="4" t="inlineStr">
        <is>
          <t>Main branch</t>
        </is>
      </c>
      <c r="H277" s="4" t="n"/>
      <c r="I277" s="4" t="inlineStr">
        <is>
          <t>Issued to clinic rooms</t>
        </is>
      </c>
      <c r="J277" s="4" t="inlineStr">
        <is>
          <t>Fatima Saad</t>
        </is>
      </c>
    </row>
    <row r="278">
      <c r="A278" s="5" t="n">
        <v>46278</v>
      </c>
      <c r="B278" s="4" t="inlineStr">
        <is>
          <t>INV-022</t>
        </is>
      </c>
      <c r="C278" s="8">
        <f>IF($B278="","",IFERROR(INDEX('Items'!$B$3:$B$202,MATCH($B278,'Items'!$A$3:$A$202,0)),""))</f>
        <v/>
      </c>
      <c r="D278" s="4" t="inlineStr">
        <is>
          <t>L7821</t>
        </is>
      </c>
      <c r="E278" s="4" t="inlineStr">
        <is>
          <t>Out</t>
        </is>
      </c>
      <c r="F278" s="6" t="n">
        <v>1</v>
      </c>
      <c r="G278" s="4" t="inlineStr">
        <is>
          <t>Main branch</t>
        </is>
      </c>
      <c r="H278" s="4" t="n"/>
      <c r="I278" s="4" t="inlineStr">
        <is>
          <t>Issued to clinic rooms</t>
        </is>
      </c>
      <c r="J278" s="4" t="inlineStr">
        <is>
          <t>Fatima Saad</t>
        </is>
      </c>
    </row>
    <row r="279">
      <c r="A279" s="5" t="n">
        <v>46278</v>
      </c>
      <c r="B279" s="4" t="inlineStr">
        <is>
          <t>INV-034</t>
        </is>
      </c>
      <c r="C279" s="8">
        <f>IF($B279="","",IFERROR(INDEX('Items'!$B$3:$B$202,MATCH($B279,'Items'!$A$3:$A$202,0)),""))</f>
        <v/>
      </c>
      <c r="D279" s="4" t="inlineStr">
        <is>
          <t>L9240</t>
        </is>
      </c>
      <c r="E279" s="4" t="inlineStr">
        <is>
          <t>Out</t>
        </is>
      </c>
      <c r="F279" s="6" t="n">
        <v>1</v>
      </c>
      <c r="G279" s="4" t="inlineStr">
        <is>
          <t>Main branch</t>
        </is>
      </c>
      <c r="H279" s="4" t="n"/>
      <c r="I279" s="4" t="inlineStr">
        <is>
          <t>Issued to clinic rooms</t>
        </is>
      </c>
      <c r="J279" s="4" t="inlineStr">
        <is>
          <t>Omar Hassan</t>
        </is>
      </c>
    </row>
    <row r="280">
      <c r="A280" s="5" t="n">
        <v>46278</v>
      </c>
      <c r="B280" s="4" t="inlineStr">
        <is>
          <t>INV-037</t>
        </is>
      </c>
      <c r="C280" s="8">
        <f>IF($B280="","",IFERROR(INDEX('Items'!$B$3:$B$202,MATCH($B280,'Items'!$A$3:$A$202,0)),""))</f>
        <v/>
      </c>
      <c r="D280" s="4" t="inlineStr">
        <is>
          <t>L9576</t>
        </is>
      </c>
      <c r="E280" s="4" t="inlineStr">
        <is>
          <t>Out</t>
        </is>
      </c>
      <c r="F280" s="6" t="n">
        <v>5</v>
      </c>
      <c r="G280" s="4" t="inlineStr">
        <is>
          <t>Main branch</t>
        </is>
      </c>
      <c r="H280" s="4" t="n"/>
      <c r="I280" s="4" t="inlineStr">
        <is>
          <t>Issued to clinic rooms</t>
        </is>
      </c>
      <c r="J280" s="4" t="inlineStr">
        <is>
          <t>Reem Abdullah</t>
        </is>
      </c>
    </row>
    <row r="281">
      <c r="A281" s="5" t="n">
        <v>46278</v>
      </c>
      <c r="B281" s="4" t="inlineStr">
        <is>
          <t>INV-038</t>
        </is>
      </c>
      <c r="C281" s="8">
        <f>IF($B281="","",IFERROR(INDEX('Items'!$B$3:$B$202,MATCH($B281,'Items'!$A$3:$A$202,0)),""))</f>
        <v/>
      </c>
      <c r="D281" s="4" t="inlineStr">
        <is>
          <t>L9742</t>
        </is>
      </c>
      <c r="E281" s="4" t="inlineStr">
        <is>
          <t>Out</t>
        </is>
      </c>
      <c r="F281" s="6" t="n">
        <v>5</v>
      </c>
      <c r="G281" s="4" t="inlineStr">
        <is>
          <t>Main branch</t>
        </is>
      </c>
      <c r="H281" s="4" t="n"/>
      <c r="I281" s="4" t="inlineStr">
        <is>
          <t>Issued to clinic rooms</t>
        </is>
      </c>
      <c r="J281" s="4" t="inlineStr">
        <is>
          <t>Omar Hassan</t>
        </is>
      </c>
    </row>
    <row r="282">
      <c r="A282" s="5" t="n">
        <v>46279</v>
      </c>
      <c r="B282" s="4" t="inlineStr">
        <is>
          <t>INV-002</t>
        </is>
      </c>
      <c r="C282" s="8">
        <f>IF($B282="","",IFERROR(INDEX('Items'!$B$3:$B$202,MATCH($B282,'Items'!$A$3:$A$202,0)),""))</f>
        <v/>
      </c>
      <c r="D282" s="4" t="inlineStr">
        <is>
          <t>L5293</t>
        </is>
      </c>
      <c r="E282" s="4" t="inlineStr">
        <is>
          <t>Out</t>
        </is>
      </c>
      <c r="F282" s="6" t="n">
        <v>4</v>
      </c>
      <c r="G282" s="4" t="inlineStr">
        <is>
          <t>Main branch</t>
        </is>
      </c>
      <c r="H282" s="4" t="n"/>
      <c r="I282" s="4" t="inlineStr">
        <is>
          <t>Issued to clinic rooms</t>
        </is>
      </c>
      <c r="J282" s="4" t="inlineStr">
        <is>
          <t>Mona Fahad</t>
        </is>
      </c>
    </row>
    <row r="283">
      <c r="A283" s="5" t="n">
        <v>46279</v>
      </c>
      <c r="B283" s="4" t="inlineStr">
        <is>
          <t>INV-004</t>
        </is>
      </c>
      <c r="C283" s="8">
        <f>IF($B283="","",IFERROR(INDEX('Items'!$B$3:$B$202,MATCH($B283,'Items'!$A$3:$A$202,0)),""))</f>
        <v/>
      </c>
      <c r="D283" s="4" t="inlineStr">
        <is>
          <t>L11124</t>
        </is>
      </c>
      <c r="E283" s="4" t="inlineStr">
        <is>
          <t>Out</t>
        </is>
      </c>
      <c r="F283" s="6" t="n">
        <v>3</v>
      </c>
      <c r="G283" s="4" t="inlineStr">
        <is>
          <t>North branch</t>
        </is>
      </c>
      <c r="H283" s="4" t="n"/>
      <c r="I283" s="4" t="inlineStr">
        <is>
          <t>Issued to clinic rooms</t>
        </is>
      </c>
      <c r="J283" s="4" t="inlineStr">
        <is>
          <t>Yasmin Ali</t>
        </is>
      </c>
    </row>
    <row r="284">
      <c r="A284" s="5" t="n">
        <v>46279</v>
      </c>
      <c r="B284" s="4" t="inlineStr">
        <is>
          <t>INV-007</t>
        </is>
      </c>
      <c r="C284" s="8">
        <f>IF($B284="","",IFERROR(INDEX('Items'!$B$3:$B$202,MATCH($B284,'Items'!$A$3:$A$202,0)),""))</f>
        <v/>
      </c>
      <c r="D284" s="4" t="inlineStr">
        <is>
          <t>L6051</t>
        </is>
      </c>
      <c r="E284" s="4" t="inlineStr">
        <is>
          <t>Out</t>
        </is>
      </c>
      <c r="F284" s="6" t="n">
        <v>2</v>
      </c>
      <c r="G284" s="4" t="inlineStr">
        <is>
          <t>Main branch</t>
        </is>
      </c>
      <c r="H284" s="4" t="n"/>
      <c r="I284" s="4" t="inlineStr">
        <is>
          <t>Issued to clinic rooms</t>
        </is>
      </c>
      <c r="J284" s="4" t="inlineStr">
        <is>
          <t>Fatima Saad</t>
        </is>
      </c>
    </row>
    <row r="285">
      <c r="A285" s="5" t="n">
        <v>46279</v>
      </c>
      <c r="B285" s="4" t="inlineStr">
        <is>
          <t>INV-008</t>
        </is>
      </c>
      <c r="C285" s="8">
        <f>IF($B285="","",IFERROR(INDEX('Items'!$B$3:$B$202,MATCH($B285,'Items'!$A$3:$A$202,0)),""))</f>
        <v/>
      </c>
      <c r="D285" s="4" t="inlineStr">
        <is>
          <t>L6210</t>
        </is>
      </c>
      <c r="E285" s="4" t="inlineStr">
        <is>
          <t>Out</t>
        </is>
      </c>
      <c r="F285" s="6" t="n">
        <v>2</v>
      </c>
      <c r="G285" s="4" t="inlineStr">
        <is>
          <t>Main branch</t>
        </is>
      </c>
      <c r="H285" s="4" t="n"/>
      <c r="I285" s="4" t="inlineStr">
        <is>
          <t>Issued to clinic rooms</t>
        </is>
      </c>
      <c r="J285" s="4" t="inlineStr">
        <is>
          <t>Fatima Saad</t>
        </is>
      </c>
    </row>
    <row r="286">
      <c r="A286" s="5" t="n">
        <v>46279</v>
      </c>
      <c r="B286" s="4" t="inlineStr">
        <is>
          <t>INV-010</t>
        </is>
      </c>
      <c r="C286" s="8">
        <f>IF($B286="","",IFERROR(INDEX('Items'!$B$3:$B$202,MATCH($B286,'Items'!$A$3:$A$202,0)),""))</f>
        <v/>
      </c>
      <c r="D286" s="4" t="inlineStr">
        <is>
          <t>L11282</t>
        </is>
      </c>
      <c r="E286" s="4" t="inlineStr">
        <is>
          <t>Out</t>
        </is>
      </c>
      <c r="F286" s="6" t="n">
        <v>1</v>
      </c>
      <c r="G286" s="4" t="inlineStr">
        <is>
          <t>North branch</t>
        </is>
      </c>
      <c r="H286" s="4" t="n"/>
      <c r="I286" s="4" t="inlineStr">
        <is>
          <t>Issued to clinic rooms</t>
        </is>
      </c>
      <c r="J286" s="4" t="inlineStr">
        <is>
          <t>Yasmin Ali</t>
        </is>
      </c>
    </row>
    <row r="287">
      <c r="A287" s="5" t="n">
        <v>46279</v>
      </c>
      <c r="B287" s="4" t="inlineStr">
        <is>
          <t>INV-010</t>
        </is>
      </c>
      <c r="C287" s="8">
        <f>IF($B287="","",IFERROR(INDEX('Items'!$B$3:$B$202,MATCH($B287,'Items'!$A$3:$A$202,0)),""))</f>
        <v/>
      </c>
      <c r="D287" s="4" t="inlineStr">
        <is>
          <t>L6350</t>
        </is>
      </c>
      <c r="E287" s="4" t="inlineStr">
        <is>
          <t>Waste</t>
        </is>
      </c>
      <c r="F287" s="6" t="n">
        <v>1</v>
      </c>
      <c r="G287" s="4" t="inlineStr">
        <is>
          <t>Main branch</t>
        </is>
      </c>
      <c r="H287" s="4" t="n"/>
      <c r="I287" s="4" t="inlineStr">
        <is>
          <t>Spilled</t>
        </is>
      </c>
      <c r="J287" s="4" t="inlineStr">
        <is>
          <t>Mona Fahad</t>
        </is>
      </c>
    </row>
    <row r="288">
      <c r="A288" s="5" t="n">
        <v>46279</v>
      </c>
      <c r="B288" s="4" t="inlineStr">
        <is>
          <t>INV-012</t>
        </is>
      </c>
      <c r="C288" s="8">
        <f>IF($B288="","",IFERROR(INDEX('Items'!$B$3:$B$202,MATCH($B288,'Items'!$A$3:$A$202,0)),""))</f>
        <v/>
      </c>
      <c r="D288" s="4" t="inlineStr">
        <is>
          <t>L6568</t>
        </is>
      </c>
      <c r="E288" s="4" t="inlineStr">
        <is>
          <t>Out</t>
        </is>
      </c>
      <c r="F288" s="6" t="n">
        <v>6</v>
      </c>
      <c r="G288" s="4" t="inlineStr">
        <is>
          <t>Main branch</t>
        </is>
      </c>
      <c r="H288" s="4" t="n"/>
      <c r="I288" s="4" t="inlineStr">
        <is>
          <t>Issued to clinic rooms</t>
        </is>
      </c>
      <c r="J288" s="4" t="inlineStr">
        <is>
          <t>Fatima Saad</t>
        </is>
      </c>
    </row>
    <row r="289">
      <c r="A289" s="5" t="n">
        <v>46279</v>
      </c>
      <c r="B289" s="4" t="inlineStr">
        <is>
          <t>INV-013</t>
        </is>
      </c>
      <c r="C289" s="8">
        <f>IF($B289="","",IFERROR(INDEX('Items'!$B$3:$B$202,MATCH($B289,'Items'!$A$3:$A$202,0)),""))</f>
        <v/>
      </c>
      <c r="D289" s="4" t="inlineStr">
        <is>
          <t>L6719</t>
        </is>
      </c>
      <c r="E289" s="4" t="inlineStr">
        <is>
          <t>Out</t>
        </is>
      </c>
      <c r="F289" s="6" t="n">
        <v>4</v>
      </c>
      <c r="G289" s="4" t="inlineStr">
        <is>
          <t>Main branch</t>
        </is>
      </c>
      <c r="H289" s="4" t="n"/>
      <c r="I289" s="4" t="inlineStr">
        <is>
          <t>Issued to clinic rooms</t>
        </is>
      </c>
      <c r="J289" s="4" t="inlineStr">
        <is>
          <t>Mona Fahad</t>
        </is>
      </c>
    </row>
    <row r="290">
      <c r="A290" s="5" t="n">
        <v>46279</v>
      </c>
      <c r="B290" s="4" t="inlineStr">
        <is>
          <t>INV-017</t>
        </is>
      </c>
      <c r="C290" s="8">
        <f>IF($B290="","",IFERROR(INDEX('Items'!$B$3:$B$202,MATCH($B290,'Items'!$A$3:$A$202,0)),""))</f>
        <v/>
      </c>
      <c r="D290" s="4" t="inlineStr">
        <is>
          <t>L7065</t>
        </is>
      </c>
      <c r="E290" s="4" t="inlineStr">
        <is>
          <t>Out</t>
        </is>
      </c>
      <c r="F290" s="6" t="n">
        <v>6</v>
      </c>
      <c r="G290" s="4" t="inlineStr">
        <is>
          <t>Main branch</t>
        </is>
      </c>
      <c r="H290" s="4" t="n"/>
      <c r="I290" s="4" t="inlineStr">
        <is>
          <t>Issued to clinic rooms</t>
        </is>
      </c>
      <c r="J290" s="4" t="inlineStr">
        <is>
          <t>Fatima Saad</t>
        </is>
      </c>
    </row>
    <row r="291">
      <c r="A291" s="5" t="n">
        <v>46279</v>
      </c>
      <c r="B291" s="4" t="inlineStr">
        <is>
          <t>INV-019</t>
        </is>
      </c>
      <c r="C291" s="8">
        <f>IF($B291="","",IFERROR(INDEX('Items'!$B$3:$B$202,MATCH($B291,'Items'!$A$3:$A$202,0)),""))</f>
        <v/>
      </c>
      <c r="D291" s="4" t="inlineStr">
        <is>
          <t>L7370</t>
        </is>
      </c>
      <c r="E291" s="4" t="inlineStr">
        <is>
          <t>Out</t>
        </is>
      </c>
      <c r="F291" s="6" t="n">
        <v>4</v>
      </c>
      <c r="G291" s="4" t="inlineStr">
        <is>
          <t>Main branch</t>
        </is>
      </c>
      <c r="H291" s="4" t="n"/>
      <c r="I291" s="4" t="inlineStr">
        <is>
          <t>Issued to clinic rooms</t>
        </is>
      </c>
      <c r="J291" s="4" t="inlineStr">
        <is>
          <t>Fatima Saad</t>
        </is>
      </c>
    </row>
    <row r="292">
      <c r="A292" s="5" t="n">
        <v>46279</v>
      </c>
      <c r="B292" s="4" t="inlineStr">
        <is>
          <t>INV-020</t>
        </is>
      </c>
      <c r="C292" s="8">
        <f>IF($B292="","",IFERROR(INDEX('Items'!$B$3:$B$202,MATCH($B292,'Items'!$A$3:$A$202,0)),""))</f>
        <v/>
      </c>
      <c r="D292" s="4" t="inlineStr">
        <is>
          <t>L7549</t>
        </is>
      </c>
      <c r="E292" s="4" t="inlineStr">
        <is>
          <t>Out</t>
        </is>
      </c>
      <c r="F292" s="6" t="n">
        <v>1</v>
      </c>
      <c r="G292" s="4" t="inlineStr">
        <is>
          <t>Main branch</t>
        </is>
      </c>
      <c r="H292" s="4" t="n"/>
      <c r="I292" s="4" t="inlineStr">
        <is>
          <t>Issued to clinic rooms</t>
        </is>
      </c>
      <c r="J292" s="4" t="inlineStr">
        <is>
          <t>Fatima Saad</t>
        </is>
      </c>
    </row>
    <row r="293">
      <c r="A293" s="5" t="n">
        <v>46279</v>
      </c>
      <c r="B293" s="4" t="inlineStr">
        <is>
          <t>INV-025</t>
        </is>
      </c>
      <c r="C293" s="8">
        <f>IF($B293="","",IFERROR(INDEX('Items'!$B$3:$B$202,MATCH($B293,'Items'!$A$3:$A$202,0)),""))</f>
        <v/>
      </c>
      <c r="D293" s="4" t="inlineStr">
        <is>
          <t>L8352</t>
        </is>
      </c>
      <c r="E293" s="4" t="inlineStr">
        <is>
          <t>Out</t>
        </is>
      </c>
      <c r="F293" s="6" t="n">
        <v>1</v>
      </c>
      <c r="G293" s="4" t="inlineStr">
        <is>
          <t>Main branch</t>
        </is>
      </c>
      <c r="H293" s="4" t="n"/>
      <c r="I293" s="4" t="inlineStr">
        <is>
          <t>Issued to clinic rooms</t>
        </is>
      </c>
      <c r="J293" s="4" t="inlineStr">
        <is>
          <t>Fatima Saad</t>
        </is>
      </c>
    </row>
    <row r="294">
      <c r="A294" s="5" t="n">
        <v>46279</v>
      </c>
      <c r="B294" s="4" t="inlineStr">
        <is>
          <t>INV-027</t>
        </is>
      </c>
      <c r="C294" s="8">
        <f>IF($B294="","",IFERROR(INDEX('Items'!$B$3:$B$202,MATCH($B294,'Items'!$A$3:$A$202,0)),""))</f>
        <v/>
      </c>
      <c r="D294" s="4" t="inlineStr">
        <is>
          <t>L8544</t>
        </is>
      </c>
      <c r="E294" s="4" t="inlineStr">
        <is>
          <t>Out</t>
        </is>
      </c>
      <c r="F294" s="6" t="n">
        <v>3</v>
      </c>
      <c r="G294" s="4" t="inlineStr">
        <is>
          <t>Main branch</t>
        </is>
      </c>
      <c r="H294" s="4" t="n"/>
      <c r="I294" s="4" t="inlineStr">
        <is>
          <t>Issued to clinic rooms</t>
        </is>
      </c>
      <c r="J294" s="4" t="inlineStr">
        <is>
          <t>Mona Fahad</t>
        </is>
      </c>
    </row>
    <row r="295">
      <c r="A295" s="5" t="n">
        <v>46279</v>
      </c>
      <c r="B295" s="4" t="inlineStr">
        <is>
          <t>INV-033</t>
        </is>
      </c>
      <c r="C295" s="8">
        <f>IF($B295="","",IFERROR(INDEX('Items'!$B$3:$B$202,MATCH($B295,'Items'!$A$3:$A$202,0)),""))</f>
        <v/>
      </c>
      <c r="D295" s="4" t="inlineStr">
        <is>
          <t>L11834</t>
        </is>
      </c>
      <c r="E295" s="4" t="inlineStr">
        <is>
          <t>Out</t>
        </is>
      </c>
      <c r="F295" s="6" t="n">
        <v>2</v>
      </c>
      <c r="G295" s="4" t="inlineStr">
        <is>
          <t>North branch</t>
        </is>
      </c>
      <c r="H295" s="4" t="n"/>
      <c r="I295" s="4" t="inlineStr">
        <is>
          <t>Issued to clinic rooms</t>
        </is>
      </c>
      <c r="J295" s="4" t="inlineStr">
        <is>
          <t>Yasmin Ali</t>
        </is>
      </c>
    </row>
    <row r="296">
      <c r="A296" s="5" t="n">
        <v>46279</v>
      </c>
      <c r="B296" s="4" t="inlineStr">
        <is>
          <t>INV-040</t>
        </is>
      </c>
      <c r="C296" s="8">
        <f>IF($B296="","",IFERROR(INDEX('Items'!$B$3:$B$202,MATCH($B296,'Items'!$A$3:$A$202,0)),""))</f>
        <v/>
      </c>
      <c r="D296" s="4" t="inlineStr">
        <is>
          <t>L9977</t>
        </is>
      </c>
      <c r="E296" s="4" t="inlineStr">
        <is>
          <t>Out</t>
        </is>
      </c>
      <c r="F296" s="6" t="n">
        <v>1</v>
      </c>
      <c r="G296" s="4" t="inlineStr">
        <is>
          <t>Main branch</t>
        </is>
      </c>
      <c r="H296" s="4" t="n"/>
      <c r="I296" s="4" t="inlineStr">
        <is>
          <t>Issued to clinic rooms</t>
        </is>
      </c>
      <c r="J296" s="4" t="inlineStr">
        <is>
          <t>Omar Hassan</t>
        </is>
      </c>
    </row>
    <row r="297">
      <c r="A297" s="5" t="n">
        <v>46279</v>
      </c>
      <c r="B297" s="4" t="inlineStr">
        <is>
          <t>INV-045</t>
        </is>
      </c>
      <c r="C297" s="8">
        <f>IF($B297="","",IFERROR(INDEX('Items'!$B$3:$B$202,MATCH($B297,'Items'!$A$3:$A$202,0)),""))</f>
        <v/>
      </c>
      <c r="D297" s="4" t="inlineStr">
        <is>
          <t>L10675</t>
        </is>
      </c>
      <c r="E297" s="4" t="inlineStr">
        <is>
          <t>Out</t>
        </is>
      </c>
      <c r="F297" s="6" t="n">
        <v>2</v>
      </c>
      <c r="G297" s="4" t="inlineStr">
        <is>
          <t>Main branch</t>
        </is>
      </c>
      <c r="H297" s="4" t="n"/>
      <c r="I297" s="4" t="inlineStr">
        <is>
          <t>Issued to clinic rooms</t>
        </is>
      </c>
      <c r="J297" s="4" t="inlineStr">
        <is>
          <t>Omar Hassan</t>
        </is>
      </c>
    </row>
    <row r="298">
      <c r="A298" s="5" t="n">
        <v>46280</v>
      </c>
      <c r="B298" s="4" t="inlineStr">
        <is>
          <t>INV-001</t>
        </is>
      </c>
      <c r="C298" s="8">
        <f>IF($B298="","",IFERROR(INDEX('Items'!$B$3:$B$202,MATCH($B298,'Items'!$A$3:$A$202,0)),""))</f>
        <v/>
      </c>
      <c r="D298" s="4" t="inlineStr">
        <is>
          <t>L5091</t>
        </is>
      </c>
      <c r="E298" s="4" t="inlineStr">
        <is>
          <t>Out</t>
        </is>
      </c>
      <c r="F298" s="6" t="n">
        <v>7</v>
      </c>
      <c r="G298" s="4" t="inlineStr">
        <is>
          <t>Main branch</t>
        </is>
      </c>
      <c r="H298" s="4" t="n"/>
      <c r="I298" s="4" t="inlineStr">
        <is>
          <t>Issued to clinic rooms</t>
        </is>
      </c>
      <c r="J298" s="4" t="inlineStr">
        <is>
          <t>Fatima Saad</t>
        </is>
      </c>
    </row>
    <row r="299">
      <c r="A299" s="5" t="n">
        <v>46280</v>
      </c>
      <c r="B299" s="4" t="inlineStr">
        <is>
          <t>INV-005</t>
        </is>
      </c>
      <c r="C299" s="8">
        <f>IF($B299="","",IFERROR(INDEX('Items'!$B$3:$B$202,MATCH($B299,'Items'!$A$3:$A$202,0)),""))</f>
        <v/>
      </c>
      <c r="D299" s="4" t="inlineStr">
        <is>
          <t>L5778</t>
        </is>
      </c>
      <c r="E299" s="4" t="inlineStr">
        <is>
          <t>Out</t>
        </is>
      </c>
      <c r="F299" s="6" t="n">
        <v>3</v>
      </c>
      <c r="G299" s="4" t="inlineStr">
        <is>
          <t>Main branch</t>
        </is>
      </c>
      <c r="H299" s="4" t="n"/>
      <c r="I299" s="4" t="inlineStr">
        <is>
          <t>Issued to clinic rooms</t>
        </is>
      </c>
      <c r="J299" s="4" t="inlineStr">
        <is>
          <t>Fatima Saad</t>
        </is>
      </c>
    </row>
    <row r="300">
      <c r="A300" s="5" t="n">
        <v>46280</v>
      </c>
      <c r="B300" s="4" t="inlineStr">
        <is>
          <t>INV-017</t>
        </is>
      </c>
      <c r="C300" s="8">
        <f>IF($B300="","",IFERROR(INDEX('Items'!$B$3:$B$202,MATCH($B300,'Items'!$A$3:$A$202,0)),""))</f>
        <v/>
      </c>
      <c r="D300" s="4" t="inlineStr">
        <is>
          <t>L11695</t>
        </is>
      </c>
      <c r="E300" s="4" t="inlineStr">
        <is>
          <t>Out</t>
        </is>
      </c>
      <c r="F300" s="6" t="n">
        <v>4</v>
      </c>
      <c r="G300" s="4" t="inlineStr">
        <is>
          <t>North branch</t>
        </is>
      </c>
      <c r="H300" s="4" t="n"/>
      <c r="I300" s="4" t="inlineStr">
        <is>
          <t>Issued to clinic rooms</t>
        </is>
      </c>
      <c r="J300" s="4" t="inlineStr">
        <is>
          <t>Yasmin Ali</t>
        </is>
      </c>
    </row>
    <row r="301">
      <c r="A301" s="5" t="n">
        <v>46280</v>
      </c>
      <c r="B301" s="4" t="inlineStr">
        <is>
          <t>INV-036</t>
        </is>
      </c>
      <c r="C301" s="8">
        <f>IF($B301="","",IFERROR(INDEX('Items'!$B$3:$B$202,MATCH($B301,'Items'!$A$3:$A$202,0)),""))</f>
        <v/>
      </c>
      <c r="D301" s="4" t="inlineStr">
        <is>
          <t>L9450</t>
        </is>
      </c>
      <c r="E301" s="4" t="inlineStr">
        <is>
          <t>Out</t>
        </is>
      </c>
      <c r="F301" s="6" t="n">
        <v>1</v>
      </c>
      <c r="G301" s="4" t="inlineStr">
        <is>
          <t>Main branch</t>
        </is>
      </c>
      <c r="H301" s="4" t="n"/>
      <c r="I301" s="4" t="inlineStr">
        <is>
          <t>Issued to clinic rooms</t>
        </is>
      </c>
      <c r="J301" s="4" t="inlineStr">
        <is>
          <t>Reem Abdullah</t>
        </is>
      </c>
    </row>
    <row r="302">
      <c r="A302" s="5" t="n">
        <v>46281</v>
      </c>
      <c r="B302" s="4" t="inlineStr">
        <is>
          <t>INV-003</t>
        </is>
      </c>
      <c r="C302" s="8">
        <f>IF($B302="","",IFERROR(INDEX('Items'!$B$3:$B$202,MATCH($B302,'Items'!$A$3:$A$202,0)),""))</f>
        <v/>
      </c>
      <c r="D302" s="4" t="inlineStr">
        <is>
          <t>L5478</t>
        </is>
      </c>
      <c r="E302" s="4" t="inlineStr">
        <is>
          <t>Out</t>
        </is>
      </c>
      <c r="F302" s="6" t="n">
        <v>5</v>
      </c>
      <c r="G302" s="4" t="inlineStr">
        <is>
          <t>Main branch</t>
        </is>
      </c>
      <c r="H302" s="4" t="n"/>
      <c r="I302" s="4" t="inlineStr">
        <is>
          <t>Issued to clinic rooms</t>
        </is>
      </c>
      <c r="J302" s="4" t="inlineStr">
        <is>
          <t>Mona Fahad</t>
        </is>
      </c>
    </row>
    <row r="303">
      <c r="A303" s="5" t="n">
        <v>46281</v>
      </c>
      <c r="B303" s="4" t="inlineStr">
        <is>
          <t>INV-010</t>
        </is>
      </c>
      <c r="C303" s="8">
        <f>IF($B303="","",IFERROR(INDEX('Items'!$B$3:$B$202,MATCH($B303,'Items'!$A$3:$A$202,0)),""))</f>
        <v/>
      </c>
      <c r="D303" s="4" t="inlineStr">
        <is>
          <t>L6350</t>
        </is>
      </c>
      <c r="E303" s="4" t="inlineStr">
        <is>
          <t>Out</t>
        </is>
      </c>
      <c r="F303" s="6" t="n">
        <v>1</v>
      </c>
      <c r="G303" s="4" t="inlineStr">
        <is>
          <t>Main branch</t>
        </is>
      </c>
      <c r="H303" s="4" t="n"/>
      <c r="I303" s="4" t="inlineStr">
        <is>
          <t>Issued to clinic rooms</t>
        </is>
      </c>
      <c r="J303" s="4" t="inlineStr">
        <is>
          <t>Fatima Saad</t>
        </is>
      </c>
    </row>
    <row r="304">
      <c r="A304" s="5" t="n">
        <v>46281</v>
      </c>
      <c r="B304" s="4" t="inlineStr">
        <is>
          <t>INV-011</t>
        </is>
      </c>
      <c r="C304" s="8">
        <f>IF($B304="","",IFERROR(INDEX('Items'!$B$3:$B$202,MATCH($B304,'Items'!$A$3:$A$202,0)),""))</f>
        <v/>
      </c>
      <c r="D304" s="4" t="inlineStr">
        <is>
          <t>L6464</t>
        </is>
      </c>
      <c r="E304" s="4" t="inlineStr">
        <is>
          <t>Out</t>
        </is>
      </c>
      <c r="F304" s="6" t="n">
        <v>5</v>
      </c>
      <c r="G304" s="4" t="inlineStr">
        <is>
          <t>Main branch</t>
        </is>
      </c>
      <c r="H304" s="4" t="n"/>
      <c r="I304" s="4" t="inlineStr">
        <is>
          <t>Issued to clinic rooms</t>
        </is>
      </c>
      <c r="J304" s="4" t="inlineStr">
        <is>
          <t>Mona Fahad</t>
        </is>
      </c>
    </row>
    <row r="305">
      <c r="A305" s="5" t="n">
        <v>46281</v>
      </c>
      <c r="B305" s="4" t="inlineStr">
        <is>
          <t>INV-011</t>
        </is>
      </c>
      <c r="C305" s="8">
        <f>IF($B305="","",IFERROR(INDEX('Items'!$B$3:$B$202,MATCH($B305,'Items'!$A$3:$A$202,0)),""))</f>
        <v/>
      </c>
      <c r="D305" s="4" t="inlineStr">
        <is>
          <t>L11452</t>
        </is>
      </c>
      <c r="E305" s="4" t="inlineStr">
        <is>
          <t>Out</t>
        </is>
      </c>
      <c r="F305" s="6" t="n">
        <v>2</v>
      </c>
      <c r="G305" s="4" t="inlineStr">
        <is>
          <t>North branch</t>
        </is>
      </c>
      <c r="H305" s="4" t="n"/>
      <c r="I305" s="4" t="inlineStr">
        <is>
          <t>Issued to clinic rooms</t>
        </is>
      </c>
      <c r="J305" s="4" t="inlineStr">
        <is>
          <t>Yasmin Ali</t>
        </is>
      </c>
    </row>
    <row r="306">
      <c r="A306" s="5" t="n">
        <v>46281</v>
      </c>
      <c r="B306" s="4" t="inlineStr">
        <is>
          <t>INV-023</t>
        </is>
      </c>
      <c r="C306" s="8">
        <f>IF($B306="","",IFERROR(INDEX('Items'!$B$3:$B$202,MATCH($B306,'Items'!$A$3:$A$202,0)),""))</f>
        <v/>
      </c>
      <c r="D306" s="4" t="inlineStr">
        <is>
          <t>L8051</t>
        </is>
      </c>
      <c r="E306" s="4" t="inlineStr">
        <is>
          <t>Out</t>
        </is>
      </c>
      <c r="F306" s="6" t="n">
        <v>3</v>
      </c>
      <c r="G306" s="4" t="inlineStr">
        <is>
          <t>Main branch</t>
        </is>
      </c>
      <c r="H306" s="4" t="n"/>
      <c r="I306" s="4" t="inlineStr">
        <is>
          <t>Issued to clinic rooms</t>
        </is>
      </c>
      <c r="J306" s="4" t="inlineStr">
        <is>
          <t>Mona Fahad</t>
        </is>
      </c>
    </row>
    <row r="307">
      <c r="A307" s="5" t="n">
        <v>46281</v>
      </c>
      <c r="B307" s="4" t="inlineStr">
        <is>
          <t>INV-024</t>
        </is>
      </c>
      <c r="C307" s="8">
        <f>IF($B307="","",IFERROR(INDEX('Items'!$B$3:$B$202,MATCH($B307,'Items'!$A$3:$A$202,0)),""))</f>
        <v/>
      </c>
      <c r="D307" s="4" t="inlineStr">
        <is>
          <t>L8237</t>
        </is>
      </c>
      <c r="E307" s="4" t="inlineStr">
        <is>
          <t>Out</t>
        </is>
      </c>
      <c r="F307" s="6" t="n">
        <v>4</v>
      </c>
      <c r="G307" s="4" t="inlineStr">
        <is>
          <t>Main branch</t>
        </is>
      </c>
      <c r="H307" s="4" t="n"/>
      <c r="I307" s="4" t="inlineStr">
        <is>
          <t>Issued to clinic rooms</t>
        </is>
      </c>
      <c r="J307" s="4" t="inlineStr">
        <is>
          <t>Mona Fahad</t>
        </is>
      </c>
    </row>
    <row r="308">
      <c r="A308" s="5" t="n">
        <v>46281</v>
      </c>
      <c r="B308" s="4" t="inlineStr">
        <is>
          <t>INV-029</t>
        </is>
      </c>
      <c r="C308" s="8">
        <f>IF($B308="","",IFERROR(INDEX('Items'!$B$3:$B$202,MATCH($B308,'Items'!$A$3:$A$202,0)),""))</f>
        <v/>
      </c>
      <c r="D308" s="4" t="inlineStr">
        <is>
          <t>L8866</t>
        </is>
      </c>
      <c r="E308" s="4" t="inlineStr">
        <is>
          <t>Out</t>
        </is>
      </c>
      <c r="F308" s="6" t="n">
        <v>2</v>
      </c>
      <c r="G308" s="4" t="inlineStr">
        <is>
          <t>Main branch</t>
        </is>
      </c>
      <c r="H308" s="4" t="n"/>
      <c r="I308" s="4" t="inlineStr">
        <is>
          <t>Issued to clinic rooms</t>
        </is>
      </c>
      <c r="J308" s="4" t="inlineStr">
        <is>
          <t>Mona Fahad</t>
        </is>
      </c>
    </row>
    <row r="309">
      <c r="A309" s="5" t="n">
        <v>46281</v>
      </c>
      <c r="B309" s="4" t="inlineStr">
        <is>
          <t>INV-033</t>
        </is>
      </c>
      <c r="C309" s="8">
        <f>IF($B309="","",IFERROR(INDEX('Items'!$B$3:$B$202,MATCH($B309,'Items'!$A$3:$A$202,0)),""))</f>
        <v/>
      </c>
      <c r="D309" s="4" t="inlineStr">
        <is>
          <t>L9186</t>
        </is>
      </c>
      <c r="E309" s="4" t="inlineStr">
        <is>
          <t>Out</t>
        </is>
      </c>
      <c r="F309" s="6" t="n">
        <v>2</v>
      </c>
      <c r="G309" s="4" t="inlineStr">
        <is>
          <t>Main branch</t>
        </is>
      </c>
      <c r="H309" s="4" t="n"/>
      <c r="I309" s="4" t="inlineStr">
        <is>
          <t>Issued to clinic rooms</t>
        </is>
      </c>
      <c r="J309" s="4" t="inlineStr">
        <is>
          <t>Omar Hassan</t>
        </is>
      </c>
    </row>
    <row r="310">
      <c r="A310" s="5" t="n">
        <v>46281</v>
      </c>
      <c r="B310" s="4" t="inlineStr">
        <is>
          <t>INV-041</t>
        </is>
      </c>
      <c r="C310" s="8">
        <f>IF($B310="","",IFERROR(INDEX('Items'!$B$3:$B$202,MATCH($B310,'Items'!$A$3:$A$202,0)),""))</f>
        <v/>
      </c>
      <c r="D310" s="4" t="inlineStr">
        <is>
          <t>L10162</t>
        </is>
      </c>
      <c r="E310" s="4" t="inlineStr">
        <is>
          <t>Out</t>
        </is>
      </c>
      <c r="F310" s="6" t="n">
        <v>1</v>
      </c>
      <c r="G310" s="4" t="inlineStr">
        <is>
          <t>Main branch</t>
        </is>
      </c>
      <c r="H310" s="4" t="n"/>
      <c r="I310" s="4" t="inlineStr">
        <is>
          <t>Issued to clinic rooms</t>
        </is>
      </c>
      <c r="J310" s="4" t="inlineStr">
        <is>
          <t>Omar Hassan</t>
        </is>
      </c>
    </row>
    <row r="311">
      <c r="A311" s="5" t="n">
        <v>46282</v>
      </c>
      <c r="B311" s="4" t="inlineStr">
        <is>
          <t>INV-001</t>
        </is>
      </c>
      <c r="C311" s="8">
        <f>IF($B311="","",IFERROR(INDEX('Items'!$B$3:$B$202,MATCH($B311,'Items'!$A$3:$A$202,0)),""))</f>
        <v/>
      </c>
      <c r="D311" s="4" t="inlineStr">
        <is>
          <t>L10782</t>
        </is>
      </c>
      <c r="E311" s="4" t="inlineStr">
        <is>
          <t>Out</t>
        </is>
      </c>
      <c r="F311" s="6" t="n">
        <v>3</v>
      </c>
      <c r="G311" s="4" t="inlineStr">
        <is>
          <t>North branch</t>
        </is>
      </c>
      <c r="H311" s="4" t="n"/>
      <c r="I311" s="4" t="inlineStr">
        <is>
          <t>Issued to clinic rooms</t>
        </is>
      </c>
      <c r="J311" s="4" t="inlineStr">
        <is>
          <t>Yasmin Ali</t>
        </is>
      </c>
    </row>
    <row r="312">
      <c r="A312" s="5" t="n">
        <v>46282</v>
      </c>
      <c r="B312" s="4" t="inlineStr">
        <is>
          <t>INV-004</t>
        </is>
      </c>
      <c r="C312" s="8">
        <f>IF($B312="","",IFERROR(INDEX('Items'!$B$3:$B$202,MATCH($B312,'Items'!$A$3:$A$202,0)),""))</f>
        <v/>
      </c>
      <c r="D312" s="4" t="inlineStr">
        <is>
          <t>L5637</t>
        </is>
      </c>
      <c r="E312" s="4" t="inlineStr">
        <is>
          <t>Out</t>
        </is>
      </c>
      <c r="F312" s="6" t="n">
        <v>5</v>
      </c>
      <c r="G312" s="4" t="inlineStr">
        <is>
          <t>Main branch</t>
        </is>
      </c>
      <c r="H312" s="4" t="n"/>
      <c r="I312" s="4" t="inlineStr">
        <is>
          <t>Issued to clinic rooms</t>
        </is>
      </c>
      <c r="J312" s="4" t="inlineStr">
        <is>
          <t>Mona Fahad</t>
        </is>
      </c>
    </row>
    <row r="313">
      <c r="A313" s="5" t="n">
        <v>46282</v>
      </c>
      <c r="B313" s="4" t="inlineStr">
        <is>
          <t>INV-006</t>
        </is>
      </c>
      <c r="C313" s="8">
        <f>IF($B313="","",IFERROR(INDEX('Items'!$B$3:$B$202,MATCH($B313,'Items'!$A$3:$A$202,0)),""))</f>
        <v/>
      </c>
      <c r="D313" s="4" t="inlineStr">
        <is>
          <t>L5920</t>
        </is>
      </c>
      <c r="E313" s="4" t="inlineStr">
        <is>
          <t>Out</t>
        </is>
      </c>
      <c r="F313" s="6" t="n">
        <v>2</v>
      </c>
      <c r="G313" s="4" t="inlineStr">
        <is>
          <t>Main branch</t>
        </is>
      </c>
      <c r="H313" s="4" t="n"/>
      <c r="I313" s="4" t="inlineStr">
        <is>
          <t>Issued to clinic rooms</t>
        </is>
      </c>
      <c r="J313" s="4" t="inlineStr">
        <is>
          <t>Fatima Saad</t>
        </is>
      </c>
    </row>
    <row r="314">
      <c r="A314" s="5" t="n">
        <v>46282</v>
      </c>
      <c r="B314" s="4" t="inlineStr">
        <is>
          <t>INV-011</t>
        </is>
      </c>
      <c r="C314" s="8">
        <f>IF($B314="","",IFERROR(INDEX('Items'!$B$3:$B$202,MATCH($B314,'Items'!$A$3:$A$202,0)),""))</f>
        <v/>
      </c>
      <c r="D314" s="4" t="inlineStr">
        <is>
          <t>L6464</t>
        </is>
      </c>
      <c r="E314" s="4" t="inlineStr">
        <is>
          <t>Transfer</t>
        </is>
      </c>
      <c r="F314" s="6" t="n">
        <v>6</v>
      </c>
      <c r="G314" s="4" t="inlineStr">
        <is>
          <t>Main branch</t>
        </is>
      </c>
      <c r="H314" s="4" t="inlineStr">
        <is>
          <t>North branch</t>
        </is>
      </c>
      <c r="I314" s="4" t="inlineStr">
        <is>
          <t>North branch ran short</t>
        </is>
      </c>
      <c r="J314" s="4" t="inlineStr">
        <is>
          <t>Fatima Saad</t>
        </is>
      </c>
    </row>
    <row r="315">
      <c r="A315" s="5" t="n">
        <v>46282</v>
      </c>
      <c r="B315" s="4" t="inlineStr">
        <is>
          <t>INV-014</t>
        </is>
      </c>
      <c r="C315" s="8">
        <f>IF($B315="","",IFERROR(INDEX('Items'!$B$3:$B$202,MATCH($B315,'Items'!$A$3:$A$202,0)),""))</f>
        <v/>
      </c>
      <c r="D315" s="4" t="inlineStr">
        <is>
          <t>L6835</t>
        </is>
      </c>
      <c r="E315" s="4" t="inlineStr">
        <is>
          <t>Out</t>
        </is>
      </c>
      <c r="F315" s="6" t="n">
        <v>2</v>
      </c>
      <c r="G315" s="4" t="inlineStr">
        <is>
          <t>Main branch</t>
        </is>
      </c>
      <c r="H315" s="4" t="n"/>
      <c r="I315" s="4" t="inlineStr">
        <is>
          <t>Issued to clinic rooms</t>
        </is>
      </c>
      <c r="J315" s="4" t="inlineStr">
        <is>
          <t>Mona Fahad</t>
        </is>
      </c>
    </row>
    <row r="316">
      <c r="A316" s="5" t="n">
        <v>46282</v>
      </c>
      <c r="B316" s="4" t="inlineStr">
        <is>
          <t>INV-018</t>
        </is>
      </c>
      <c r="C316" s="8">
        <f>IF($B316="","",IFERROR(INDEX('Items'!$B$3:$B$202,MATCH($B316,'Items'!$A$3:$A$202,0)),""))</f>
        <v/>
      </c>
      <c r="D316" s="4" t="inlineStr">
        <is>
          <t>L7199</t>
        </is>
      </c>
      <c r="E316" s="4" t="inlineStr">
        <is>
          <t>Out</t>
        </is>
      </c>
      <c r="F316" s="6" t="n">
        <v>1</v>
      </c>
      <c r="G316" s="4" t="inlineStr">
        <is>
          <t>Main branch</t>
        </is>
      </c>
      <c r="H316" s="4" t="n"/>
      <c r="I316" s="4" t="inlineStr">
        <is>
          <t>Issued to clinic rooms</t>
        </is>
      </c>
      <c r="J316" s="4" t="inlineStr">
        <is>
          <t>Mona Fahad</t>
        </is>
      </c>
    </row>
    <row r="317">
      <c r="A317" s="5" t="n">
        <v>46282</v>
      </c>
      <c r="B317" s="4" t="inlineStr">
        <is>
          <t>INV-026</t>
        </is>
      </c>
      <c r="C317" s="8">
        <f>IF($B317="","",IFERROR(INDEX('Items'!$B$3:$B$202,MATCH($B317,'Items'!$A$3:$A$202,0)),""))</f>
        <v/>
      </c>
      <c r="D317" s="4" t="inlineStr">
        <is>
          <t>L8465</t>
        </is>
      </c>
      <c r="E317" s="4" t="inlineStr">
        <is>
          <t>Out</t>
        </is>
      </c>
      <c r="F317" s="6" t="n">
        <v>2</v>
      </c>
      <c r="G317" s="4" t="inlineStr">
        <is>
          <t>Main branch</t>
        </is>
      </c>
      <c r="H317" s="4" t="n"/>
      <c r="I317" s="4" t="inlineStr">
        <is>
          <t>Issued to clinic rooms</t>
        </is>
      </c>
      <c r="J317" s="4" t="inlineStr">
        <is>
          <t>Mona Fahad</t>
        </is>
      </c>
    </row>
    <row r="318">
      <c r="A318" s="5" t="n">
        <v>46282</v>
      </c>
      <c r="B318" s="4" t="inlineStr">
        <is>
          <t>INV-042</t>
        </is>
      </c>
      <c r="C318" s="8">
        <f>IF($B318="","",IFERROR(INDEX('Items'!$B$3:$B$202,MATCH($B318,'Items'!$A$3:$A$202,0)),""))</f>
        <v/>
      </c>
      <c r="D318" s="4" t="inlineStr">
        <is>
          <t>L10248</t>
        </is>
      </c>
      <c r="E318" s="4" t="inlineStr">
        <is>
          <t>Out</t>
        </is>
      </c>
      <c r="F318" s="6" t="n">
        <v>1</v>
      </c>
      <c r="G318" s="4" t="inlineStr">
        <is>
          <t>Main branch</t>
        </is>
      </c>
      <c r="H318" s="4" t="n"/>
      <c r="I318" s="4" t="inlineStr">
        <is>
          <t>Issued to clinic rooms</t>
        </is>
      </c>
      <c r="J318" s="4" t="inlineStr">
        <is>
          <t>Reem Abdullah</t>
        </is>
      </c>
    </row>
    <row r="319">
      <c r="A319" s="5" t="n">
        <v>46282</v>
      </c>
      <c r="B319" s="4" t="inlineStr">
        <is>
          <t>INV-043</t>
        </is>
      </c>
      <c r="C319" s="8">
        <f>IF($B319="","",IFERROR(INDEX('Items'!$B$3:$B$202,MATCH($B319,'Items'!$A$3:$A$202,0)),""))</f>
        <v/>
      </c>
      <c r="D319" s="4" t="inlineStr">
        <is>
          <t>L10405</t>
        </is>
      </c>
      <c r="E319" s="4" t="inlineStr">
        <is>
          <t>Out</t>
        </is>
      </c>
      <c r="F319" s="6" t="n">
        <v>1</v>
      </c>
      <c r="G319" s="4" t="inlineStr">
        <is>
          <t>Main branch</t>
        </is>
      </c>
      <c r="H319" s="4" t="n"/>
      <c r="I319" s="4" t="inlineStr">
        <is>
          <t>Issued to clinic rooms</t>
        </is>
      </c>
      <c r="J319" s="4" t="inlineStr">
        <is>
          <t>Reem Abdullah</t>
        </is>
      </c>
    </row>
    <row r="320">
      <c r="A320" s="5" t="n">
        <v>46285</v>
      </c>
      <c r="B320" s="4" t="inlineStr">
        <is>
          <t>INV-001</t>
        </is>
      </c>
      <c r="C320" s="8">
        <f>IF($B320="","",IFERROR(INDEX('Items'!$B$3:$B$202,MATCH($B320,'Items'!$A$3:$A$202,0)),""))</f>
        <v/>
      </c>
      <c r="D320" s="4" t="inlineStr">
        <is>
          <t>L5091</t>
        </is>
      </c>
      <c r="E320" s="4" t="inlineStr">
        <is>
          <t>Out</t>
        </is>
      </c>
      <c r="F320" s="6" t="n">
        <v>7</v>
      </c>
      <c r="G320" s="4" t="inlineStr">
        <is>
          <t>Main branch</t>
        </is>
      </c>
      <c r="H320" s="4" t="n"/>
      <c r="I320" s="4" t="inlineStr">
        <is>
          <t>Issued to clinic rooms</t>
        </is>
      </c>
      <c r="J320" s="4" t="inlineStr">
        <is>
          <t>Mona Fahad</t>
        </is>
      </c>
    </row>
    <row r="321">
      <c r="A321" s="5" t="n">
        <v>46285</v>
      </c>
      <c r="B321" s="4" t="inlineStr">
        <is>
          <t>INV-002</t>
        </is>
      </c>
      <c r="C321" s="8">
        <f>IF($B321="","",IFERROR(INDEX('Items'!$B$3:$B$202,MATCH($B321,'Items'!$A$3:$A$202,0)),""))</f>
        <v/>
      </c>
      <c r="D321" s="4" t="inlineStr">
        <is>
          <t>L5293</t>
        </is>
      </c>
      <c r="E321" s="4" t="inlineStr">
        <is>
          <t>Out</t>
        </is>
      </c>
      <c r="F321" s="6" t="n">
        <v>5</v>
      </c>
      <c r="G321" s="4" t="inlineStr">
        <is>
          <t>Main branch</t>
        </is>
      </c>
      <c r="H321" s="4" t="n"/>
      <c r="I321" s="4" t="inlineStr">
        <is>
          <t>Issued to clinic rooms</t>
        </is>
      </c>
      <c r="J321" s="4" t="inlineStr">
        <is>
          <t>Mona Fahad</t>
        </is>
      </c>
    </row>
    <row r="322">
      <c r="A322" s="5" t="n">
        <v>46285</v>
      </c>
      <c r="B322" s="4" t="inlineStr">
        <is>
          <t>INV-011</t>
        </is>
      </c>
      <c r="C322" s="8">
        <f>IF($B322="","",IFERROR(INDEX('Items'!$B$3:$B$202,MATCH($B322,'Items'!$A$3:$A$202,0)),""))</f>
        <v/>
      </c>
      <c r="D322" s="4" t="inlineStr">
        <is>
          <t>L11452</t>
        </is>
      </c>
      <c r="E322" s="4" t="inlineStr">
        <is>
          <t>Out</t>
        </is>
      </c>
      <c r="F322" s="6" t="n">
        <v>3</v>
      </c>
      <c r="G322" s="4" t="inlineStr">
        <is>
          <t>North branch</t>
        </is>
      </c>
      <c r="H322" s="4" t="n"/>
      <c r="I322" s="4" t="inlineStr">
        <is>
          <t>Issued to clinic rooms</t>
        </is>
      </c>
      <c r="J322" s="4" t="inlineStr">
        <is>
          <t>Yasmin Ali</t>
        </is>
      </c>
    </row>
    <row r="323">
      <c r="A323" s="5" t="n">
        <v>46285</v>
      </c>
      <c r="B323" s="4" t="inlineStr">
        <is>
          <t>INV-018</t>
        </is>
      </c>
      <c r="C323" s="8">
        <f>IF($B323="","",IFERROR(INDEX('Items'!$B$3:$B$202,MATCH($B323,'Items'!$A$3:$A$202,0)),""))</f>
        <v/>
      </c>
      <c r="D323" s="4" t="inlineStr">
        <is>
          <t>L7199</t>
        </is>
      </c>
      <c r="E323" s="4" t="inlineStr">
        <is>
          <t>Out</t>
        </is>
      </c>
      <c r="F323" s="6" t="n">
        <v>1</v>
      </c>
      <c r="G323" s="4" t="inlineStr">
        <is>
          <t>Main branch</t>
        </is>
      </c>
      <c r="H323" s="4" t="n"/>
      <c r="I323" s="4" t="inlineStr">
        <is>
          <t>Issued to clinic rooms</t>
        </is>
      </c>
      <c r="J323" s="4" t="inlineStr">
        <is>
          <t>Fatima Saad</t>
        </is>
      </c>
    </row>
    <row r="324">
      <c r="A324" s="5" t="n">
        <v>46285</v>
      </c>
      <c r="B324" s="4" t="inlineStr">
        <is>
          <t>INV-020</t>
        </is>
      </c>
      <c r="C324" s="8">
        <f>IF($B324="","",IFERROR(INDEX('Items'!$B$3:$B$202,MATCH($B324,'Items'!$A$3:$A$202,0)),""))</f>
        <v/>
      </c>
      <c r="D324" s="4" t="inlineStr">
        <is>
          <t>L7549</t>
        </is>
      </c>
      <c r="E324" s="4" t="inlineStr">
        <is>
          <t>Out</t>
        </is>
      </c>
      <c r="F324" s="6" t="n">
        <v>1</v>
      </c>
      <c r="G324" s="4" t="inlineStr">
        <is>
          <t>Main branch</t>
        </is>
      </c>
      <c r="H324" s="4" t="n"/>
      <c r="I324" s="4" t="inlineStr">
        <is>
          <t>Issued to clinic rooms</t>
        </is>
      </c>
      <c r="J324" s="4" t="inlineStr">
        <is>
          <t>Fatima Saad</t>
        </is>
      </c>
    </row>
    <row r="325">
      <c r="A325" s="5" t="n">
        <v>46285</v>
      </c>
      <c r="B325" s="4" t="inlineStr">
        <is>
          <t>INV-024</t>
        </is>
      </c>
      <c r="C325" s="8">
        <f>IF($B325="","",IFERROR(INDEX('Items'!$B$3:$B$202,MATCH($B325,'Items'!$A$3:$A$202,0)),""))</f>
        <v/>
      </c>
      <c r="D325" s="4" t="inlineStr">
        <is>
          <t>L8237</t>
        </is>
      </c>
      <c r="E325" s="4" t="inlineStr">
        <is>
          <t>Out</t>
        </is>
      </c>
      <c r="F325" s="6" t="n">
        <v>2</v>
      </c>
      <c r="G325" s="4" t="inlineStr">
        <is>
          <t>Main branch</t>
        </is>
      </c>
      <c r="H325" s="4" t="n"/>
      <c r="I325" s="4" t="inlineStr">
        <is>
          <t>Issued to clinic rooms</t>
        </is>
      </c>
      <c r="J325" s="4" t="inlineStr">
        <is>
          <t>Fatima Saad</t>
        </is>
      </c>
    </row>
    <row r="326">
      <c r="A326" s="5" t="n">
        <v>46285</v>
      </c>
      <c r="B326" s="4" t="inlineStr">
        <is>
          <t>INV-037</t>
        </is>
      </c>
      <c r="C326" s="8">
        <f>IF($B326="","",IFERROR(INDEX('Items'!$B$3:$B$202,MATCH($B326,'Items'!$A$3:$A$202,0)),""))</f>
        <v/>
      </c>
      <c r="D326" s="4" t="inlineStr">
        <is>
          <t>L9620</t>
        </is>
      </c>
      <c r="E326" s="4" t="inlineStr">
        <is>
          <t>Out</t>
        </is>
      </c>
      <c r="F326" s="6" t="n">
        <v>4</v>
      </c>
      <c r="G326" s="4" t="inlineStr">
        <is>
          <t>Main branch</t>
        </is>
      </c>
      <c r="H326" s="4" t="n"/>
      <c r="I326" s="4" t="inlineStr">
        <is>
          <t>Issued to clinic rooms</t>
        </is>
      </c>
      <c r="J326" s="4" t="inlineStr">
        <is>
          <t>Reem Abdullah</t>
        </is>
      </c>
    </row>
    <row r="327">
      <c r="A327" s="5" t="n">
        <v>46285</v>
      </c>
      <c r="B327" s="4" t="inlineStr">
        <is>
          <t>INV-041</t>
        </is>
      </c>
      <c r="C327" s="8">
        <f>IF($B327="","",IFERROR(INDEX('Items'!$B$3:$B$202,MATCH($B327,'Items'!$A$3:$A$202,0)),""))</f>
        <v/>
      </c>
      <c r="D327" s="4" t="inlineStr">
        <is>
          <t>L10162</t>
        </is>
      </c>
      <c r="E327" s="4" t="inlineStr">
        <is>
          <t>Out</t>
        </is>
      </c>
      <c r="F327" s="6" t="n">
        <v>1</v>
      </c>
      <c r="G327" s="4" t="inlineStr">
        <is>
          <t>Main branch</t>
        </is>
      </c>
      <c r="H327" s="4" t="n"/>
      <c r="I327" s="4" t="inlineStr">
        <is>
          <t>Issued to clinic rooms</t>
        </is>
      </c>
      <c r="J327" s="4" t="inlineStr">
        <is>
          <t>Omar Hassan</t>
        </is>
      </c>
    </row>
    <row r="328">
      <c r="A328" s="5" t="n">
        <v>46286</v>
      </c>
      <c r="B328" s="4" t="inlineStr">
        <is>
          <t>INV-006</t>
        </is>
      </c>
      <c r="C328" s="8">
        <f>IF($B328="","",IFERROR(INDEX('Items'!$B$3:$B$202,MATCH($B328,'Items'!$A$3:$A$202,0)),""))</f>
        <v/>
      </c>
      <c r="D328" s="4" t="inlineStr">
        <is>
          <t>L5920</t>
        </is>
      </c>
      <c r="E328" s="4" t="inlineStr">
        <is>
          <t>Out</t>
        </is>
      </c>
      <c r="F328" s="6" t="n">
        <v>2</v>
      </c>
      <c r="G328" s="4" t="inlineStr">
        <is>
          <t>Main branch</t>
        </is>
      </c>
      <c r="H328" s="4" t="n"/>
      <c r="I328" s="4" t="inlineStr">
        <is>
          <t>Issued to clinic rooms</t>
        </is>
      </c>
      <c r="J328" s="4" t="inlineStr">
        <is>
          <t>Fatima Saad</t>
        </is>
      </c>
    </row>
    <row r="329">
      <c r="A329" s="5" t="n">
        <v>46286</v>
      </c>
      <c r="B329" s="4" t="inlineStr">
        <is>
          <t>INV-008</t>
        </is>
      </c>
      <c r="C329" s="8">
        <f>IF($B329="","",IFERROR(INDEX('Items'!$B$3:$B$202,MATCH($B329,'Items'!$A$3:$A$202,0)),""))</f>
        <v/>
      </c>
      <c r="D329" s="4" t="inlineStr">
        <is>
          <t>L6210</t>
        </is>
      </c>
      <c r="E329" s="4" t="inlineStr">
        <is>
          <t>Out</t>
        </is>
      </c>
      <c r="F329" s="6" t="n">
        <v>2</v>
      </c>
      <c r="G329" s="4" t="inlineStr">
        <is>
          <t>Main branch</t>
        </is>
      </c>
      <c r="H329" s="4" t="n"/>
      <c r="I329" s="4" t="inlineStr">
        <is>
          <t>Issued to clinic rooms</t>
        </is>
      </c>
      <c r="J329" s="4" t="inlineStr">
        <is>
          <t>Fatima Saad</t>
        </is>
      </c>
    </row>
    <row r="330">
      <c r="A330" s="5" t="n">
        <v>46286</v>
      </c>
      <c r="B330" s="4" t="inlineStr">
        <is>
          <t>INV-009</t>
        </is>
      </c>
      <c r="C330" s="8">
        <f>IF($B330="","",IFERROR(INDEX('Items'!$B$3:$B$202,MATCH($B330,'Items'!$A$3:$A$202,0)),""))</f>
        <v/>
      </c>
      <c r="D330" s="4" t="inlineStr">
        <is>
          <t>L6258</t>
        </is>
      </c>
      <c r="E330" s="4" t="inlineStr">
        <is>
          <t>Out</t>
        </is>
      </c>
      <c r="F330" s="6" t="n">
        <v>1</v>
      </c>
      <c r="G330" s="4" t="inlineStr">
        <is>
          <t>Main branch</t>
        </is>
      </c>
      <c r="H330" s="4" t="n"/>
      <c r="I330" s="4" t="inlineStr">
        <is>
          <t>Issued to clinic rooms</t>
        </is>
      </c>
      <c r="J330" s="4" t="inlineStr">
        <is>
          <t>Fatima Saad</t>
        </is>
      </c>
    </row>
    <row r="331">
      <c r="A331" s="5" t="n">
        <v>46286</v>
      </c>
      <c r="B331" s="4" t="inlineStr">
        <is>
          <t>INV-014</t>
        </is>
      </c>
      <c r="C331" s="8">
        <f>IF($B331="","",IFERROR(INDEX('Items'!$B$3:$B$202,MATCH($B331,'Items'!$A$3:$A$202,0)),""))</f>
        <v/>
      </c>
      <c r="D331" s="4" t="inlineStr">
        <is>
          <t>L6835</t>
        </is>
      </c>
      <c r="E331" s="4" t="inlineStr">
        <is>
          <t>Out</t>
        </is>
      </c>
      <c r="F331" s="6" t="n">
        <v>2</v>
      </c>
      <c r="G331" s="4" t="inlineStr">
        <is>
          <t>Main branch</t>
        </is>
      </c>
      <c r="H331" s="4" t="n"/>
      <c r="I331" s="4" t="inlineStr">
        <is>
          <t>Issued to clinic rooms</t>
        </is>
      </c>
      <c r="J331" s="4" t="inlineStr">
        <is>
          <t>Fatima Saad</t>
        </is>
      </c>
    </row>
    <row r="332">
      <c r="A332" s="5" t="n">
        <v>46286</v>
      </c>
      <c r="B332" s="4" t="inlineStr">
        <is>
          <t>INV-017</t>
        </is>
      </c>
      <c r="C332" s="8">
        <f>IF($B332="","",IFERROR(INDEX('Items'!$B$3:$B$202,MATCH($B332,'Items'!$A$3:$A$202,0)),""))</f>
        <v/>
      </c>
      <c r="D332" s="4" t="inlineStr">
        <is>
          <t>L11695</t>
        </is>
      </c>
      <c r="E332" s="4" t="inlineStr">
        <is>
          <t>Out</t>
        </is>
      </c>
      <c r="F332" s="6" t="n">
        <v>3</v>
      </c>
      <c r="G332" s="4" t="inlineStr">
        <is>
          <t>North branch</t>
        </is>
      </c>
      <c r="H332" s="4" t="n"/>
      <c r="I332" s="4" t="inlineStr">
        <is>
          <t>Issued to clinic rooms</t>
        </is>
      </c>
      <c r="J332" s="4" t="inlineStr">
        <is>
          <t>Yasmin Ali</t>
        </is>
      </c>
    </row>
    <row r="333">
      <c r="A333" s="5" t="n">
        <v>46286</v>
      </c>
      <c r="B333" s="4" t="inlineStr">
        <is>
          <t>INV-019</t>
        </is>
      </c>
      <c r="C333" s="8">
        <f>IF($B333="","",IFERROR(INDEX('Items'!$B$3:$B$202,MATCH($B333,'Items'!$A$3:$A$202,0)),""))</f>
        <v/>
      </c>
      <c r="D333" s="4" t="inlineStr">
        <is>
          <t>L7370</t>
        </is>
      </c>
      <c r="E333" s="4" t="inlineStr">
        <is>
          <t>Out</t>
        </is>
      </c>
      <c r="F333" s="6" t="n">
        <v>2</v>
      </c>
      <c r="G333" s="4" t="inlineStr">
        <is>
          <t>Main branch</t>
        </is>
      </c>
      <c r="H333" s="4" t="n"/>
      <c r="I333" s="4" t="inlineStr">
        <is>
          <t>Issued to clinic rooms</t>
        </is>
      </c>
      <c r="J333" s="4" t="inlineStr">
        <is>
          <t>Fatima Saad</t>
        </is>
      </c>
    </row>
    <row r="334">
      <c r="A334" s="5" t="n">
        <v>46286</v>
      </c>
      <c r="B334" s="4" t="inlineStr">
        <is>
          <t>INV-021</t>
        </is>
      </c>
      <c r="C334" s="8">
        <f>IF($B334="","",IFERROR(INDEX('Items'!$B$3:$B$202,MATCH($B334,'Items'!$A$3:$A$202,0)),""))</f>
        <v/>
      </c>
      <c r="D334" s="4" t="inlineStr">
        <is>
          <t>L7749</t>
        </is>
      </c>
      <c r="E334" s="4" t="inlineStr">
        <is>
          <t>Out</t>
        </is>
      </c>
      <c r="F334" s="6" t="n">
        <v>2</v>
      </c>
      <c r="G334" s="4" t="inlineStr">
        <is>
          <t>Main branch</t>
        </is>
      </c>
      <c r="H334" s="4" t="n"/>
      <c r="I334" s="4" t="inlineStr">
        <is>
          <t>Issued to clinic rooms</t>
        </is>
      </c>
      <c r="J334" s="4" t="inlineStr">
        <is>
          <t>Mona Fahad</t>
        </is>
      </c>
    </row>
    <row r="335">
      <c r="A335" s="5" t="n">
        <v>46286</v>
      </c>
      <c r="B335" s="4" t="inlineStr">
        <is>
          <t>INV-026</t>
        </is>
      </c>
      <c r="C335" s="8">
        <f>IF($B335="","",IFERROR(INDEX('Items'!$B$3:$B$202,MATCH($B335,'Items'!$A$3:$A$202,0)),""))</f>
        <v/>
      </c>
      <c r="D335" s="4" t="inlineStr">
        <is>
          <t>L8465</t>
        </is>
      </c>
      <c r="E335" s="4" t="inlineStr">
        <is>
          <t>Out</t>
        </is>
      </c>
      <c r="F335" s="6" t="n">
        <v>2</v>
      </c>
      <c r="G335" s="4" t="inlineStr">
        <is>
          <t>Main branch</t>
        </is>
      </c>
      <c r="H335" s="4" t="n"/>
      <c r="I335" s="4" t="inlineStr">
        <is>
          <t>Issued to clinic rooms</t>
        </is>
      </c>
      <c r="J335" s="4" t="inlineStr">
        <is>
          <t>Fatima Saad</t>
        </is>
      </c>
    </row>
    <row r="336">
      <c r="A336" s="5" t="n">
        <v>46286</v>
      </c>
      <c r="B336" s="4" t="inlineStr">
        <is>
          <t>INV-027</t>
        </is>
      </c>
      <c r="C336" s="8">
        <f>IF($B336="","",IFERROR(INDEX('Items'!$B$3:$B$202,MATCH($B336,'Items'!$A$3:$A$202,0)),""))</f>
        <v/>
      </c>
      <c r="D336" s="4" t="inlineStr">
        <is>
          <t>L8624</t>
        </is>
      </c>
      <c r="E336" s="4" t="inlineStr">
        <is>
          <t>Out</t>
        </is>
      </c>
      <c r="F336" s="6" t="n">
        <v>2</v>
      </c>
      <c r="G336" s="4" t="inlineStr">
        <is>
          <t>Main branch</t>
        </is>
      </c>
      <c r="H336" s="4" t="n"/>
      <c r="I336" s="4" t="inlineStr">
        <is>
          <t>Issued to clinic rooms</t>
        </is>
      </c>
      <c r="J336" s="4" t="inlineStr">
        <is>
          <t>Mona Fahad</t>
        </is>
      </c>
    </row>
    <row r="337">
      <c r="A337" s="5" t="n">
        <v>46287</v>
      </c>
      <c r="B337" s="4" t="inlineStr">
        <is>
          <t>INV-004</t>
        </is>
      </c>
      <c r="C337" s="8">
        <f>IF($B337="","",IFERROR(INDEX('Items'!$B$3:$B$202,MATCH($B337,'Items'!$A$3:$A$202,0)),""))</f>
        <v/>
      </c>
      <c r="D337" s="4" t="inlineStr">
        <is>
          <t>L5637</t>
        </is>
      </c>
      <c r="E337" s="4" t="inlineStr">
        <is>
          <t>Out</t>
        </is>
      </c>
      <c r="F337" s="6" t="n">
        <v>7</v>
      </c>
      <c r="G337" s="4" t="inlineStr">
        <is>
          <t>Main branch</t>
        </is>
      </c>
      <c r="H337" s="4" t="n"/>
      <c r="I337" s="4" t="inlineStr">
        <is>
          <t>Issued to clinic rooms</t>
        </is>
      </c>
      <c r="J337" s="4" t="inlineStr">
        <is>
          <t>Fatima Saad</t>
        </is>
      </c>
    </row>
    <row r="338">
      <c r="A338" s="5" t="n">
        <v>46287</v>
      </c>
      <c r="B338" s="4" t="inlineStr">
        <is>
          <t>INV-004</t>
        </is>
      </c>
      <c r="C338" s="8">
        <f>IF($B338="","",IFERROR(INDEX('Items'!$B$3:$B$202,MATCH($B338,'Items'!$A$3:$A$202,0)),""))</f>
        <v/>
      </c>
      <c r="D338" s="4" t="inlineStr">
        <is>
          <t>L11124</t>
        </is>
      </c>
      <c r="E338" s="4" t="inlineStr">
        <is>
          <t>Out</t>
        </is>
      </c>
      <c r="F338" s="6" t="n">
        <v>3</v>
      </c>
      <c r="G338" s="4" t="inlineStr">
        <is>
          <t>North branch</t>
        </is>
      </c>
      <c r="H338" s="4" t="n"/>
      <c r="I338" s="4" t="inlineStr">
        <is>
          <t>Issued to clinic rooms</t>
        </is>
      </c>
      <c r="J338" s="4" t="inlineStr">
        <is>
          <t>Yasmin Ali</t>
        </is>
      </c>
    </row>
    <row r="339">
      <c r="A339" s="5" t="n">
        <v>46287</v>
      </c>
      <c r="B339" s="4" t="inlineStr">
        <is>
          <t>INV-005</t>
        </is>
      </c>
      <c r="C339" s="8">
        <f>IF($B339="","",IFERROR(INDEX('Items'!$B$3:$B$202,MATCH($B339,'Items'!$A$3:$A$202,0)),""))</f>
        <v/>
      </c>
      <c r="D339" s="4" t="inlineStr">
        <is>
          <t>L5778</t>
        </is>
      </c>
      <c r="E339" s="4" t="inlineStr">
        <is>
          <t>Out</t>
        </is>
      </c>
      <c r="F339" s="6" t="n">
        <v>2</v>
      </c>
      <c r="G339" s="4" t="inlineStr">
        <is>
          <t>Main branch</t>
        </is>
      </c>
      <c r="H339" s="4" t="n"/>
      <c r="I339" s="4" t="inlineStr">
        <is>
          <t>Issued to clinic rooms</t>
        </is>
      </c>
      <c r="J339" s="4" t="inlineStr">
        <is>
          <t>Mona Fahad</t>
        </is>
      </c>
    </row>
    <row r="340">
      <c r="A340" s="5" t="n">
        <v>46287</v>
      </c>
      <c r="B340" s="4" t="inlineStr">
        <is>
          <t>INV-007</t>
        </is>
      </c>
      <c r="C340" s="8">
        <f>IF($B340="","",IFERROR(INDEX('Items'!$B$3:$B$202,MATCH($B340,'Items'!$A$3:$A$202,0)),""))</f>
        <v/>
      </c>
      <c r="D340" s="4" t="inlineStr">
        <is>
          <t>L6051</t>
        </is>
      </c>
      <c r="E340" s="4" t="inlineStr">
        <is>
          <t>Out</t>
        </is>
      </c>
      <c r="F340" s="6" t="n">
        <v>2</v>
      </c>
      <c r="G340" s="4" t="inlineStr">
        <is>
          <t>Main branch</t>
        </is>
      </c>
      <c r="H340" s="4" t="n"/>
      <c r="I340" s="4" t="inlineStr">
        <is>
          <t>Issued to clinic rooms</t>
        </is>
      </c>
      <c r="J340" s="4" t="inlineStr">
        <is>
          <t>Fatima Saad</t>
        </is>
      </c>
    </row>
    <row r="341">
      <c r="A341" s="5" t="n">
        <v>46287</v>
      </c>
      <c r="B341" s="4" t="inlineStr">
        <is>
          <t>INV-010</t>
        </is>
      </c>
      <c r="C341" s="8">
        <f>IF($B341="","",IFERROR(INDEX('Items'!$B$3:$B$202,MATCH($B341,'Items'!$A$3:$A$202,0)),""))</f>
        <v/>
      </c>
      <c r="D341" s="4" t="inlineStr">
        <is>
          <t>L6350</t>
        </is>
      </c>
      <c r="E341" s="4" t="inlineStr">
        <is>
          <t>Out</t>
        </is>
      </c>
      <c r="F341" s="6" t="n">
        <v>1</v>
      </c>
      <c r="G341" s="4" t="inlineStr">
        <is>
          <t>Main branch</t>
        </is>
      </c>
      <c r="H341" s="4" t="n"/>
      <c r="I341" s="4" t="inlineStr">
        <is>
          <t>Issued to clinic rooms</t>
        </is>
      </c>
      <c r="J341" s="4" t="inlineStr">
        <is>
          <t>Fatima Saad</t>
        </is>
      </c>
    </row>
    <row r="342">
      <c r="A342" s="5" t="n">
        <v>46287</v>
      </c>
      <c r="B342" s="4" t="inlineStr">
        <is>
          <t>INV-011</t>
        </is>
      </c>
      <c r="C342" s="8">
        <f>IF($B342="","",IFERROR(INDEX('Items'!$B$3:$B$202,MATCH($B342,'Items'!$A$3:$A$202,0)),""))</f>
        <v/>
      </c>
      <c r="D342" s="4" t="inlineStr">
        <is>
          <t>L6464</t>
        </is>
      </c>
      <c r="E342" s="4" t="inlineStr">
        <is>
          <t>Out</t>
        </is>
      </c>
      <c r="F342" s="6" t="n">
        <v>4</v>
      </c>
      <c r="G342" s="4" t="inlineStr">
        <is>
          <t>Main branch</t>
        </is>
      </c>
      <c r="H342" s="4" t="n"/>
      <c r="I342" s="4" t="inlineStr">
        <is>
          <t>Issued to clinic rooms</t>
        </is>
      </c>
      <c r="J342" s="4" t="inlineStr">
        <is>
          <t>Mona Fahad</t>
        </is>
      </c>
    </row>
    <row r="343">
      <c r="A343" s="5" t="n">
        <v>46287</v>
      </c>
      <c r="B343" s="4" t="inlineStr">
        <is>
          <t>INV-012</t>
        </is>
      </c>
      <c r="C343" s="8">
        <f>IF($B343="","",IFERROR(INDEX('Items'!$B$3:$B$202,MATCH($B343,'Items'!$A$3:$A$202,0)),""))</f>
        <v/>
      </c>
      <c r="D343" s="4" t="inlineStr">
        <is>
          <t>L6653</t>
        </is>
      </c>
      <c r="E343" s="4" t="inlineStr">
        <is>
          <t>Out</t>
        </is>
      </c>
      <c r="F343" s="6" t="n">
        <v>6</v>
      </c>
      <c r="G343" s="4" t="inlineStr">
        <is>
          <t>Main branch</t>
        </is>
      </c>
      <c r="H343" s="4" t="n"/>
      <c r="I343" s="4" t="inlineStr">
        <is>
          <t>Issued to clinic rooms</t>
        </is>
      </c>
      <c r="J343" s="4" t="inlineStr">
        <is>
          <t>Fatima Saad</t>
        </is>
      </c>
    </row>
    <row r="344">
      <c r="A344" s="5" t="n">
        <v>46287</v>
      </c>
      <c r="B344" s="4" t="inlineStr">
        <is>
          <t>INV-040</t>
        </is>
      </c>
      <c r="C344" s="8">
        <f>IF($B344="","",IFERROR(INDEX('Items'!$B$3:$B$202,MATCH($B344,'Items'!$A$3:$A$202,0)),""))</f>
        <v/>
      </c>
      <c r="D344" s="4" t="inlineStr">
        <is>
          <t>L10010</t>
        </is>
      </c>
      <c r="E344" s="4" t="inlineStr">
        <is>
          <t>Out</t>
        </is>
      </c>
      <c r="F344" s="6" t="n">
        <v>1</v>
      </c>
      <c r="G344" s="4" t="inlineStr">
        <is>
          <t>Main branch</t>
        </is>
      </c>
      <c r="H344" s="4" t="n"/>
      <c r="I344" s="4" t="inlineStr">
        <is>
          <t>Issued to clinic rooms</t>
        </is>
      </c>
      <c r="J344" s="4" t="inlineStr">
        <is>
          <t>Reem Abdullah</t>
        </is>
      </c>
    </row>
    <row r="345">
      <c r="A345" s="5" t="n">
        <v>46288</v>
      </c>
      <c r="B345" s="4" t="inlineStr">
        <is>
          <t>INV-003</t>
        </is>
      </c>
      <c r="C345" s="8">
        <f>IF($B345="","",IFERROR(INDEX('Items'!$B$3:$B$202,MATCH($B345,'Items'!$A$3:$A$202,0)),""))</f>
        <v/>
      </c>
      <c r="D345" s="4" t="inlineStr">
        <is>
          <t>L5478</t>
        </is>
      </c>
      <c r="E345" s="4" t="inlineStr">
        <is>
          <t>Out</t>
        </is>
      </c>
      <c r="F345" s="6" t="n">
        <v>4</v>
      </c>
      <c r="G345" s="4" t="inlineStr">
        <is>
          <t>Main branch</t>
        </is>
      </c>
      <c r="H345" s="4" t="n"/>
      <c r="I345" s="4" t="inlineStr">
        <is>
          <t>Issued to clinic rooms</t>
        </is>
      </c>
      <c r="J345" s="4" t="inlineStr">
        <is>
          <t>Mona Fahad</t>
        </is>
      </c>
    </row>
    <row r="346">
      <c r="A346" s="5" t="n">
        <v>46288</v>
      </c>
      <c r="B346" s="4" t="inlineStr">
        <is>
          <t>INV-010</t>
        </is>
      </c>
      <c r="C346" s="8">
        <f>IF($B346="","",IFERROR(INDEX('Items'!$B$3:$B$202,MATCH($B346,'Items'!$A$3:$A$202,0)),""))</f>
        <v/>
      </c>
      <c r="D346" s="4" t="inlineStr">
        <is>
          <t>L11282</t>
        </is>
      </c>
      <c r="E346" s="4" t="inlineStr">
        <is>
          <t>Out</t>
        </is>
      </c>
      <c r="F346" s="6" t="n">
        <v>1</v>
      </c>
      <c r="G346" s="4" t="inlineStr">
        <is>
          <t>North branch</t>
        </is>
      </c>
      <c r="H346" s="4" t="n"/>
      <c r="I346" s="4" t="inlineStr">
        <is>
          <t>Issued to clinic rooms</t>
        </is>
      </c>
      <c r="J346" s="4" t="inlineStr">
        <is>
          <t>Yasmin Ali</t>
        </is>
      </c>
    </row>
    <row r="347">
      <c r="A347" s="5" t="n">
        <v>46288</v>
      </c>
      <c r="B347" s="4" t="inlineStr">
        <is>
          <t>INV-015</t>
        </is>
      </c>
      <c r="C347" s="8">
        <f>IF($B347="","",IFERROR(INDEX('Items'!$B$3:$B$202,MATCH($B347,'Items'!$A$3:$A$202,0)),""))</f>
        <v/>
      </c>
      <c r="D347" s="4" t="inlineStr">
        <is>
          <t>L6900</t>
        </is>
      </c>
      <c r="E347" s="4" t="inlineStr">
        <is>
          <t>Out</t>
        </is>
      </c>
      <c r="F347" s="6" t="n">
        <v>1</v>
      </c>
      <c r="G347" s="4" t="inlineStr">
        <is>
          <t>Main branch</t>
        </is>
      </c>
      <c r="H347" s="4" t="n"/>
      <c r="I347" s="4" t="inlineStr">
        <is>
          <t>Issued to clinic rooms</t>
        </is>
      </c>
      <c r="J347" s="4" t="inlineStr">
        <is>
          <t>Fatima Saad</t>
        </is>
      </c>
    </row>
    <row r="348">
      <c r="A348" s="5" t="n">
        <v>46288</v>
      </c>
      <c r="B348" s="4" t="inlineStr">
        <is>
          <t>INV-023</t>
        </is>
      </c>
      <c r="C348" s="8">
        <f>IF($B348="","",IFERROR(INDEX('Items'!$B$3:$B$202,MATCH($B348,'Items'!$A$3:$A$202,0)),""))</f>
        <v/>
      </c>
      <c r="D348" s="4" t="inlineStr">
        <is>
          <t>L8051</t>
        </is>
      </c>
      <c r="E348" s="4" t="inlineStr">
        <is>
          <t>Out</t>
        </is>
      </c>
      <c r="F348" s="6" t="n">
        <v>3</v>
      </c>
      <c r="G348" s="4" t="inlineStr">
        <is>
          <t>Main branch</t>
        </is>
      </c>
      <c r="H348" s="4" t="n"/>
      <c r="I348" s="4" t="inlineStr">
        <is>
          <t>Issued to clinic rooms</t>
        </is>
      </c>
      <c r="J348" s="4" t="inlineStr">
        <is>
          <t>Fatima Saad</t>
        </is>
      </c>
    </row>
    <row r="349">
      <c r="A349" s="5" t="n">
        <v>46288</v>
      </c>
      <c r="B349" s="4" t="inlineStr">
        <is>
          <t>INV-025</t>
        </is>
      </c>
      <c r="C349" s="8">
        <f>IF($B349="","",IFERROR(INDEX('Items'!$B$3:$B$202,MATCH($B349,'Items'!$A$3:$A$202,0)),""))</f>
        <v/>
      </c>
      <c r="D349" s="4" t="inlineStr">
        <is>
          <t>L8352</t>
        </is>
      </c>
      <c r="E349" s="4" t="inlineStr">
        <is>
          <t>Out</t>
        </is>
      </c>
      <c r="F349" s="6" t="n">
        <v>1</v>
      </c>
      <c r="G349" s="4" t="inlineStr">
        <is>
          <t>Main branch</t>
        </is>
      </c>
      <c r="H349" s="4" t="n"/>
      <c r="I349" s="4" t="inlineStr">
        <is>
          <t>Issued to clinic rooms</t>
        </is>
      </c>
      <c r="J349" s="4" t="inlineStr">
        <is>
          <t>Fatima Saad</t>
        </is>
      </c>
    </row>
    <row r="350">
      <c r="A350" s="5" t="n">
        <v>46288</v>
      </c>
      <c r="B350" s="4" t="inlineStr">
        <is>
          <t>INV-033</t>
        </is>
      </c>
      <c r="C350" s="8">
        <f>IF($B350="","",IFERROR(INDEX('Items'!$B$3:$B$202,MATCH($B350,'Items'!$A$3:$A$202,0)),""))</f>
        <v/>
      </c>
      <c r="D350" s="4" t="inlineStr">
        <is>
          <t>L11834</t>
        </is>
      </c>
      <c r="E350" s="4" t="inlineStr">
        <is>
          <t>Out</t>
        </is>
      </c>
      <c r="F350" s="6" t="n">
        <v>2</v>
      </c>
      <c r="G350" s="4" t="inlineStr">
        <is>
          <t>North branch</t>
        </is>
      </c>
      <c r="H350" s="4" t="n"/>
      <c r="I350" s="4" t="inlineStr">
        <is>
          <t>Issued to clinic rooms</t>
        </is>
      </c>
      <c r="J350" s="4" t="inlineStr">
        <is>
          <t>Yasmin Ali</t>
        </is>
      </c>
    </row>
    <row r="351">
      <c r="A351" s="5" t="n">
        <v>46288</v>
      </c>
      <c r="B351" s="4" t="inlineStr">
        <is>
          <t>INV-038</t>
        </is>
      </c>
      <c r="C351" s="8">
        <f>IF($B351="","",IFERROR(INDEX('Items'!$B$3:$B$202,MATCH($B351,'Items'!$A$3:$A$202,0)),""))</f>
        <v/>
      </c>
      <c r="D351" s="4" t="inlineStr">
        <is>
          <t>L9786</t>
        </is>
      </c>
      <c r="E351" s="4" t="inlineStr">
        <is>
          <t>Out</t>
        </is>
      </c>
      <c r="F351" s="6" t="n">
        <v>5</v>
      </c>
      <c r="G351" s="4" t="inlineStr">
        <is>
          <t>Main branch</t>
        </is>
      </c>
      <c r="H351" s="4" t="n"/>
      <c r="I351" s="4" t="inlineStr">
        <is>
          <t>Issued to clinic rooms</t>
        </is>
      </c>
      <c r="J351" s="4" t="inlineStr">
        <is>
          <t>Reem Abdullah</t>
        </is>
      </c>
    </row>
    <row r="352">
      <c r="A352" s="5" t="n">
        <v>46289</v>
      </c>
      <c r="B352" s="4" t="inlineStr">
        <is>
          <t>INV-001</t>
        </is>
      </c>
      <c r="C352" s="8">
        <f>IF($B352="","",IFERROR(INDEX('Items'!$B$3:$B$202,MATCH($B352,'Items'!$A$3:$A$202,0)),""))</f>
        <v/>
      </c>
      <c r="D352" s="4" t="inlineStr">
        <is>
          <t>L10782</t>
        </is>
      </c>
      <c r="E352" s="4" t="inlineStr">
        <is>
          <t>Out</t>
        </is>
      </c>
      <c r="F352" s="6" t="n">
        <v>3</v>
      </c>
      <c r="G352" s="4" t="inlineStr">
        <is>
          <t>North branch</t>
        </is>
      </c>
      <c r="H352" s="4" t="n"/>
      <c r="I352" s="4" t="inlineStr">
        <is>
          <t>Issued to clinic rooms</t>
        </is>
      </c>
      <c r="J352" s="4" t="inlineStr">
        <is>
          <t>Yasmin Ali</t>
        </is>
      </c>
    </row>
    <row r="353">
      <c r="A353" s="5" t="n">
        <v>46289</v>
      </c>
      <c r="B353" s="4" t="inlineStr">
        <is>
          <t>INV-003</t>
        </is>
      </c>
      <c r="C353" s="8">
        <f>IF($B353="","",IFERROR(INDEX('Items'!$B$3:$B$202,MATCH($B353,'Items'!$A$3:$A$202,0)),""))</f>
        <v/>
      </c>
      <c r="D353" s="4" t="inlineStr">
        <is>
          <t>L10964</t>
        </is>
      </c>
      <c r="E353" s="4" t="inlineStr">
        <is>
          <t>Out</t>
        </is>
      </c>
      <c r="F353" s="6" t="n">
        <v>2</v>
      </c>
      <c r="G353" s="4" t="inlineStr">
        <is>
          <t>North branch</t>
        </is>
      </c>
      <c r="H353" s="4" t="n"/>
      <c r="I353" s="4" t="inlineStr">
        <is>
          <t>Issued to clinic rooms</t>
        </is>
      </c>
      <c r="J353" s="4" t="inlineStr">
        <is>
          <t>Yasmin Ali</t>
        </is>
      </c>
    </row>
    <row r="354">
      <c r="A354" s="5" t="n">
        <v>46289</v>
      </c>
      <c r="B354" s="4" t="inlineStr">
        <is>
          <t>INV-012</t>
        </is>
      </c>
      <c r="C354" s="8">
        <f>IF($B354="","",IFERROR(INDEX('Items'!$B$3:$B$202,MATCH($B354,'Items'!$A$3:$A$202,0)),""))</f>
        <v/>
      </c>
      <c r="D354" s="4" t="inlineStr">
        <is>
          <t>L11575</t>
        </is>
      </c>
      <c r="E354" s="4" t="inlineStr">
        <is>
          <t>Out</t>
        </is>
      </c>
      <c r="F354" s="6" t="n">
        <v>2</v>
      </c>
      <c r="G354" s="4" t="inlineStr">
        <is>
          <t>North branch</t>
        </is>
      </c>
      <c r="H354" s="4" t="n"/>
      <c r="I354" s="4" t="inlineStr">
        <is>
          <t>Issued to clinic rooms</t>
        </is>
      </c>
      <c r="J354" s="4" t="inlineStr">
        <is>
          <t>Yasmin Ali</t>
        </is>
      </c>
    </row>
    <row r="355">
      <c r="A355" s="5" t="n">
        <v>46289</v>
      </c>
      <c r="B355" s="4" t="inlineStr">
        <is>
          <t>INV-013</t>
        </is>
      </c>
      <c r="C355" s="8">
        <f>IF($B355="","",IFERROR(INDEX('Items'!$B$3:$B$202,MATCH($B355,'Items'!$A$3:$A$202,0)),""))</f>
        <v/>
      </c>
      <c r="D355" s="4" t="inlineStr">
        <is>
          <t>L6728</t>
        </is>
      </c>
      <c r="E355" s="4" t="inlineStr">
        <is>
          <t>Out</t>
        </is>
      </c>
      <c r="F355" s="6" t="n">
        <v>5</v>
      </c>
      <c r="G355" s="4" t="inlineStr">
        <is>
          <t>Main branch</t>
        </is>
      </c>
      <c r="H355" s="4" t="n"/>
      <c r="I355" s="4" t="inlineStr">
        <is>
          <t>Issued to clinic rooms</t>
        </is>
      </c>
      <c r="J355" s="4" t="inlineStr">
        <is>
          <t>Fatima Saad</t>
        </is>
      </c>
    </row>
    <row r="356">
      <c r="A356" s="5" t="n">
        <v>46289</v>
      </c>
      <c r="B356" s="4" t="inlineStr">
        <is>
          <t>INV-016</t>
        </is>
      </c>
      <c r="C356" s="8">
        <f>IF($B356="","",IFERROR(INDEX('Items'!$B$3:$B$202,MATCH($B356,'Items'!$A$3:$A$202,0)),""))</f>
        <v/>
      </c>
      <c r="D356" s="4" t="inlineStr">
        <is>
          <t>L7007</t>
        </is>
      </c>
      <c r="E356" s="4" t="inlineStr">
        <is>
          <t>Out</t>
        </is>
      </c>
      <c r="F356" s="6" t="n">
        <v>3</v>
      </c>
      <c r="G356" s="4" t="inlineStr">
        <is>
          <t>Main branch</t>
        </is>
      </c>
      <c r="H356" s="4" t="n"/>
      <c r="I356" s="4" t="inlineStr">
        <is>
          <t>Issued to clinic rooms</t>
        </is>
      </c>
      <c r="J356" s="4" t="inlineStr">
        <is>
          <t>Mona Fahad</t>
        </is>
      </c>
    </row>
    <row r="357">
      <c r="A357" s="5" t="n">
        <v>46289</v>
      </c>
      <c r="B357" s="4" t="inlineStr">
        <is>
          <t>INV-017</t>
        </is>
      </c>
      <c r="C357" s="8">
        <f>IF($B357="","",IFERROR(INDEX('Items'!$B$3:$B$202,MATCH($B357,'Items'!$A$3:$A$202,0)),""))</f>
        <v/>
      </c>
      <c r="D357" s="4" t="inlineStr">
        <is>
          <t>L7065</t>
        </is>
      </c>
      <c r="E357" s="4" t="inlineStr">
        <is>
          <t>Out</t>
        </is>
      </c>
      <c r="F357" s="6" t="n">
        <v>6</v>
      </c>
      <c r="G357" s="4" t="inlineStr">
        <is>
          <t>Main branch</t>
        </is>
      </c>
      <c r="H357" s="4" t="n"/>
      <c r="I357" s="4" t="inlineStr">
        <is>
          <t>Issued to clinic rooms</t>
        </is>
      </c>
      <c r="J357" s="4" t="inlineStr">
        <is>
          <t>Mona Fahad</t>
        </is>
      </c>
    </row>
    <row r="358">
      <c r="A358" s="5" t="n">
        <v>46289</v>
      </c>
      <c r="B358" s="4" t="inlineStr">
        <is>
          <t>INV-022</t>
        </is>
      </c>
      <c r="C358" s="8">
        <f>IF($B358="","",IFERROR(INDEX('Items'!$B$3:$B$202,MATCH($B358,'Items'!$A$3:$A$202,0)),""))</f>
        <v/>
      </c>
      <c r="D358" s="4" t="inlineStr">
        <is>
          <t>L7850</t>
        </is>
      </c>
      <c r="E358" s="4" t="inlineStr">
        <is>
          <t>Out</t>
        </is>
      </c>
      <c r="F358" s="6" t="n">
        <v>1</v>
      </c>
      <c r="G358" s="4" t="inlineStr">
        <is>
          <t>Main branch</t>
        </is>
      </c>
      <c r="H358" s="4" t="n"/>
      <c r="I358" s="4" t="inlineStr">
        <is>
          <t>Issued to clinic rooms</t>
        </is>
      </c>
      <c r="J358" s="4" t="inlineStr">
        <is>
          <t>Mona Fahad</t>
        </is>
      </c>
    </row>
    <row r="359">
      <c r="A359" s="5" t="n">
        <v>46289</v>
      </c>
      <c r="B359" s="4" t="inlineStr">
        <is>
          <t>INV-029</t>
        </is>
      </c>
      <c r="C359" s="8">
        <f>IF($B359="","",IFERROR(INDEX('Items'!$B$3:$B$202,MATCH($B359,'Items'!$A$3:$A$202,0)),""))</f>
        <v/>
      </c>
      <c r="D359" s="4" t="inlineStr">
        <is>
          <t>L8866</t>
        </is>
      </c>
      <c r="E359" s="4" t="inlineStr">
        <is>
          <t>Out</t>
        </is>
      </c>
      <c r="F359" s="6" t="n">
        <v>2</v>
      </c>
      <c r="G359" s="4" t="inlineStr">
        <is>
          <t>Main branch</t>
        </is>
      </c>
      <c r="H359" s="4" t="n"/>
      <c r="I359" s="4" t="inlineStr">
        <is>
          <t>Issued to clinic rooms</t>
        </is>
      </c>
      <c r="J359" s="4" t="inlineStr">
        <is>
          <t>Mona Fahad</t>
        </is>
      </c>
    </row>
    <row r="360">
      <c r="A360" s="5" t="n">
        <v>46289</v>
      </c>
      <c r="B360" s="4" t="inlineStr">
        <is>
          <t>INV-033</t>
        </is>
      </c>
      <c r="C360" s="8">
        <f>IF($B360="","",IFERROR(INDEX('Items'!$B$3:$B$202,MATCH($B360,'Items'!$A$3:$A$202,0)),""))</f>
        <v/>
      </c>
      <c r="D360" s="4" t="inlineStr">
        <is>
          <t>L9186</t>
        </is>
      </c>
      <c r="E360" s="4" t="inlineStr">
        <is>
          <t>Out</t>
        </is>
      </c>
      <c r="F360" s="6" t="n">
        <v>2</v>
      </c>
      <c r="G360" s="4" t="inlineStr">
        <is>
          <t>Main branch</t>
        </is>
      </c>
      <c r="H360" s="4" t="n"/>
      <c r="I360" s="4" t="inlineStr">
        <is>
          <t>Issued to clinic rooms</t>
        </is>
      </c>
      <c r="J360" s="4" t="inlineStr">
        <is>
          <t>Omar Hassan</t>
        </is>
      </c>
    </row>
    <row r="361">
      <c r="A361" s="5" t="n">
        <v>46289</v>
      </c>
      <c r="B361" s="4" t="inlineStr">
        <is>
          <t>INV-036</t>
        </is>
      </c>
      <c r="C361" s="8">
        <f>IF($B361="","",IFERROR(INDEX('Items'!$B$3:$B$202,MATCH($B361,'Items'!$A$3:$A$202,0)),""))</f>
        <v/>
      </c>
      <c r="D361" s="4" t="inlineStr">
        <is>
          <t>L9450</t>
        </is>
      </c>
      <c r="E361" s="4" t="inlineStr">
        <is>
          <t>Out</t>
        </is>
      </c>
      <c r="F361" s="6" t="n">
        <v>1</v>
      </c>
      <c r="G361" s="4" t="inlineStr">
        <is>
          <t>Main branch</t>
        </is>
      </c>
      <c r="H361" s="4" t="n"/>
      <c r="I361" s="4" t="inlineStr">
        <is>
          <t>Issued to clinic rooms</t>
        </is>
      </c>
      <c r="J361" s="4" t="inlineStr">
        <is>
          <t>Omar Hassan</t>
        </is>
      </c>
    </row>
    <row r="362">
      <c r="A362" s="5" t="n">
        <v>46289</v>
      </c>
      <c r="B362" s="4" t="inlineStr">
        <is>
          <t>INV-043</t>
        </is>
      </c>
      <c r="C362" s="8">
        <f>IF($B362="","",IFERROR(INDEX('Items'!$B$3:$B$202,MATCH($B362,'Items'!$A$3:$A$202,0)),""))</f>
        <v/>
      </c>
      <c r="D362" s="4" t="inlineStr">
        <is>
          <t>L10405</t>
        </is>
      </c>
      <c r="E362" s="4" t="inlineStr">
        <is>
          <t>Out</t>
        </is>
      </c>
      <c r="F362" s="6" t="n">
        <v>1</v>
      </c>
      <c r="G362" s="4" t="inlineStr">
        <is>
          <t>Main branch</t>
        </is>
      </c>
      <c r="H362" s="4" t="n"/>
      <c r="I362" s="4" t="inlineStr">
        <is>
          <t>Issued to clinic rooms</t>
        </is>
      </c>
      <c r="J362" s="4" t="inlineStr">
        <is>
          <t>Reem Abdullah</t>
        </is>
      </c>
    </row>
    <row r="363">
      <c r="A363" s="5" t="n">
        <v>46289</v>
      </c>
      <c r="B363" s="4" t="inlineStr">
        <is>
          <t>INV-045</t>
        </is>
      </c>
      <c r="C363" s="8">
        <f>IF($B363="","",IFERROR(INDEX('Items'!$B$3:$B$202,MATCH($B363,'Items'!$A$3:$A$202,0)),""))</f>
        <v/>
      </c>
      <c r="D363" s="4" t="inlineStr">
        <is>
          <t>L10675</t>
        </is>
      </c>
      <c r="E363" s="4" t="inlineStr">
        <is>
          <t>Out</t>
        </is>
      </c>
      <c r="F363" s="6" t="n">
        <v>2</v>
      </c>
      <c r="G363" s="4" t="inlineStr">
        <is>
          <t>Main branch</t>
        </is>
      </c>
      <c r="H363" s="4" t="n"/>
      <c r="I363" s="4" t="inlineStr">
        <is>
          <t>Issued to clinic rooms</t>
        </is>
      </c>
      <c r="J363" s="4" t="inlineStr">
        <is>
          <t>Reem Abdullah</t>
        </is>
      </c>
    </row>
    <row r="364">
      <c r="A364" s="5" t="n"/>
      <c r="B364" s="4" t="n"/>
      <c r="C364" s="8">
        <f>IF($B364="","",IFERROR(INDEX('Items'!$B$3:$B$202,MATCH($B364,'Items'!$A$3:$A$202,0)),""))</f>
        <v/>
      </c>
      <c r="D364" s="4" t="n"/>
      <c r="E364" s="4" t="n"/>
      <c r="F364" s="6" t="n"/>
      <c r="G364" s="4" t="n"/>
      <c r="H364" s="4" t="n"/>
      <c r="I364" s="4" t="n"/>
      <c r="J364" s="4" t="n"/>
    </row>
    <row r="365">
      <c r="A365" s="5" t="n"/>
      <c r="B365" s="4" t="n"/>
      <c r="C365" s="8">
        <f>IF($B365="","",IFERROR(INDEX('Items'!$B$3:$B$202,MATCH($B365,'Items'!$A$3:$A$202,0)),""))</f>
        <v/>
      </c>
      <c r="D365" s="4" t="n"/>
      <c r="E365" s="4" t="n"/>
      <c r="F365" s="6" t="n"/>
      <c r="G365" s="4" t="n"/>
      <c r="H365" s="4" t="n"/>
      <c r="I365" s="4" t="n"/>
      <c r="J365" s="4" t="n"/>
    </row>
    <row r="366">
      <c r="A366" s="5" t="n"/>
      <c r="B366" s="4" t="n"/>
      <c r="C366" s="8">
        <f>IF($B366="","",IFERROR(INDEX('Items'!$B$3:$B$202,MATCH($B366,'Items'!$A$3:$A$202,0)),""))</f>
        <v/>
      </c>
      <c r="D366" s="4" t="n"/>
      <c r="E366" s="4" t="n"/>
      <c r="F366" s="6" t="n"/>
      <c r="G366" s="4" t="n"/>
      <c r="H366" s="4" t="n"/>
      <c r="I366" s="4" t="n"/>
      <c r="J366" s="4" t="n"/>
    </row>
    <row r="367">
      <c r="A367" s="5" t="n"/>
      <c r="B367" s="4" t="n"/>
      <c r="C367" s="8">
        <f>IF($B367="","",IFERROR(INDEX('Items'!$B$3:$B$202,MATCH($B367,'Items'!$A$3:$A$202,0)),""))</f>
        <v/>
      </c>
      <c r="D367" s="4" t="n"/>
      <c r="E367" s="4" t="n"/>
      <c r="F367" s="6" t="n"/>
      <c r="G367" s="4" t="n"/>
      <c r="H367" s="4" t="n"/>
      <c r="I367" s="4" t="n"/>
      <c r="J367" s="4" t="n"/>
    </row>
    <row r="368">
      <c r="A368" s="5" t="n"/>
      <c r="B368" s="4" t="n"/>
      <c r="C368" s="8">
        <f>IF($B368="","",IFERROR(INDEX('Items'!$B$3:$B$202,MATCH($B368,'Items'!$A$3:$A$202,0)),""))</f>
        <v/>
      </c>
      <c r="D368" s="4" t="n"/>
      <c r="E368" s="4" t="n"/>
      <c r="F368" s="6" t="n"/>
      <c r="G368" s="4" t="n"/>
      <c r="H368" s="4" t="n"/>
      <c r="I368" s="4" t="n"/>
      <c r="J368" s="4" t="n"/>
    </row>
    <row r="369">
      <c r="A369" s="5" t="n"/>
      <c r="B369" s="4" t="n"/>
      <c r="C369" s="8">
        <f>IF($B369="","",IFERROR(INDEX('Items'!$B$3:$B$202,MATCH($B369,'Items'!$A$3:$A$202,0)),""))</f>
        <v/>
      </c>
      <c r="D369" s="4" t="n"/>
      <c r="E369" s="4" t="n"/>
      <c r="F369" s="6" t="n"/>
      <c r="G369" s="4" t="n"/>
      <c r="H369" s="4" t="n"/>
      <c r="I369" s="4" t="n"/>
      <c r="J369" s="4" t="n"/>
    </row>
    <row r="370">
      <c r="A370" s="5" t="n"/>
      <c r="B370" s="4" t="n"/>
      <c r="C370" s="8">
        <f>IF($B370="","",IFERROR(INDEX('Items'!$B$3:$B$202,MATCH($B370,'Items'!$A$3:$A$202,0)),""))</f>
        <v/>
      </c>
      <c r="D370" s="4" t="n"/>
      <c r="E370" s="4" t="n"/>
      <c r="F370" s="6" t="n"/>
      <c r="G370" s="4" t="n"/>
      <c r="H370" s="4" t="n"/>
      <c r="I370" s="4" t="n"/>
      <c r="J370" s="4" t="n"/>
    </row>
    <row r="371">
      <c r="A371" s="5" t="n"/>
      <c r="B371" s="4" t="n"/>
      <c r="C371" s="8">
        <f>IF($B371="","",IFERROR(INDEX('Items'!$B$3:$B$202,MATCH($B371,'Items'!$A$3:$A$202,0)),""))</f>
        <v/>
      </c>
      <c r="D371" s="4" t="n"/>
      <c r="E371" s="4" t="n"/>
      <c r="F371" s="6" t="n"/>
      <c r="G371" s="4" t="n"/>
      <c r="H371" s="4" t="n"/>
      <c r="I371" s="4" t="n"/>
      <c r="J371" s="4" t="n"/>
    </row>
    <row r="372">
      <c r="A372" s="5" t="n"/>
      <c r="B372" s="4" t="n"/>
      <c r="C372" s="8">
        <f>IF($B372="","",IFERROR(INDEX('Items'!$B$3:$B$202,MATCH($B372,'Items'!$A$3:$A$202,0)),""))</f>
        <v/>
      </c>
      <c r="D372" s="4" t="n"/>
      <c r="E372" s="4" t="n"/>
      <c r="F372" s="6" t="n"/>
      <c r="G372" s="4" t="n"/>
      <c r="H372" s="4" t="n"/>
      <c r="I372" s="4" t="n"/>
      <c r="J372" s="4" t="n"/>
    </row>
    <row r="373">
      <c r="A373" s="5" t="n"/>
      <c r="B373" s="4" t="n"/>
      <c r="C373" s="8">
        <f>IF($B373="","",IFERROR(INDEX('Items'!$B$3:$B$202,MATCH($B373,'Items'!$A$3:$A$202,0)),""))</f>
        <v/>
      </c>
      <c r="D373" s="4" t="n"/>
      <c r="E373" s="4" t="n"/>
      <c r="F373" s="6" t="n"/>
      <c r="G373" s="4" t="n"/>
      <c r="H373" s="4" t="n"/>
      <c r="I373" s="4" t="n"/>
      <c r="J373" s="4" t="n"/>
    </row>
    <row r="374">
      <c r="A374" s="5" t="n"/>
      <c r="B374" s="4" t="n"/>
      <c r="C374" s="8">
        <f>IF($B374="","",IFERROR(INDEX('Items'!$B$3:$B$202,MATCH($B374,'Items'!$A$3:$A$202,0)),""))</f>
        <v/>
      </c>
      <c r="D374" s="4" t="n"/>
      <c r="E374" s="4" t="n"/>
      <c r="F374" s="6" t="n"/>
      <c r="G374" s="4" t="n"/>
      <c r="H374" s="4" t="n"/>
      <c r="I374" s="4" t="n"/>
      <c r="J374" s="4" t="n"/>
    </row>
    <row r="375">
      <c r="A375" s="5" t="n"/>
      <c r="B375" s="4" t="n"/>
      <c r="C375" s="8">
        <f>IF($B375="","",IFERROR(INDEX('Items'!$B$3:$B$202,MATCH($B375,'Items'!$A$3:$A$202,0)),""))</f>
        <v/>
      </c>
      <c r="D375" s="4" t="n"/>
      <c r="E375" s="4" t="n"/>
      <c r="F375" s="6" t="n"/>
      <c r="G375" s="4" t="n"/>
      <c r="H375" s="4" t="n"/>
      <c r="I375" s="4" t="n"/>
      <c r="J375" s="4" t="n"/>
    </row>
    <row r="376">
      <c r="A376" s="5" t="n"/>
      <c r="B376" s="4" t="n"/>
      <c r="C376" s="8">
        <f>IF($B376="","",IFERROR(INDEX('Items'!$B$3:$B$202,MATCH($B376,'Items'!$A$3:$A$202,0)),""))</f>
        <v/>
      </c>
      <c r="D376" s="4" t="n"/>
      <c r="E376" s="4" t="n"/>
      <c r="F376" s="6" t="n"/>
      <c r="G376" s="4" t="n"/>
      <c r="H376" s="4" t="n"/>
      <c r="I376" s="4" t="n"/>
      <c r="J376" s="4" t="n"/>
    </row>
    <row r="377">
      <c r="A377" s="5" t="n"/>
      <c r="B377" s="4" t="n"/>
      <c r="C377" s="8">
        <f>IF($B377="","",IFERROR(INDEX('Items'!$B$3:$B$202,MATCH($B377,'Items'!$A$3:$A$202,0)),""))</f>
        <v/>
      </c>
      <c r="D377" s="4" t="n"/>
      <c r="E377" s="4" t="n"/>
      <c r="F377" s="6" t="n"/>
      <c r="G377" s="4" t="n"/>
      <c r="H377" s="4" t="n"/>
      <c r="I377" s="4" t="n"/>
      <c r="J377" s="4" t="n"/>
    </row>
    <row r="378">
      <c r="A378" s="5" t="n"/>
      <c r="B378" s="4" t="n"/>
      <c r="C378" s="8">
        <f>IF($B378="","",IFERROR(INDEX('Items'!$B$3:$B$202,MATCH($B378,'Items'!$A$3:$A$202,0)),""))</f>
        <v/>
      </c>
      <c r="D378" s="4" t="n"/>
      <c r="E378" s="4" t="n"/>
      <c r="F378" s="6" t="n"/>
      <c r="G378" s="4" t="n"/>
      <c r="H378" s="4" t="n"/>
      <c r="I378" s="4" t="n"/>
      <c r="J378" s="4" t="n"/>
    </row>
    <row r="379">
      <c r="A379" s="5" t="n"/>
      <c r="B379" s="4" t="n"/>
      <c r="C379" s="8">
        <f>IF($B379="","",IFERROR(INDEX('Items'!$B$3:$B$202,MATCH($B379,'Items'!$A$3:$A$202,0)),""))</f>
        <v/>
      </c>
      <c r="D379" s="4" t="n"/>
      <c r="E379" s="4" t="n"/>
      <c r="F379" s="6" t="n"/>
      <c r="G379" s="4" t="n"/>
      <c r="H379" s="4" t="n"/>
      <c r="I379" s="4" t="n"/>
      <c r="J379" s="4" t="n"/>
    </row>
    <row r="380">
      <c r="A380" s="5" t="n"/>
      <c r="B380" s="4" t="n"/>
      <c r="C380" s="8">
        <f>IF($B380="","",IFERROR(INDEX('Items'!$B$3:$B$202,MATCH($B380,'Items'!$A$3:$A$202,0)),""))</f>
        <v/>
      </c>
      <c r="D380" s="4" t="n"/>
      <c r="E380" s="4" t="n"/>
      <c r="F380" s="6" t="n"/>
      <c r="G380" s="4" t="n"/>
      <c r="H380" s="4" t="n"/>
      <c r="I380" s="4" t="n"/>
      <c r="J380" s="4" t="n"/>
    </row>
    <row r="381">
      <c r="A381" s="5" t="n"/>
      <c r="B381" s="4" t="n"/>
      <c r="C381" s="8">
        <f>IF($B381="","",IFERROR(INDEX('Items'!$B$3:$B$202,MATCH($B381,'Items'!$A$3:$A$202,0)),""))</f>
        <v/>
      </c>
      <c r="D381" s="4" t="n"/>
      <c r="E381" s="4" t="n"/>
      <c r="F381" s="6" t="n"/>
      <c r="G381" s="4" t="n"/>
      <c r="H381" s="4" t="n"/>
      <c r="I381" s="4" t="n"/>
      <c r="J381" s="4" t="n"/>
    </row>
    <row r="382">
      <c r="A382" s="5" t="n"/>
      <c r="B382" s="4" t="n"/>
      <c r="C382" s="8">
        <f>IF($B382="","",IFERROR(INDEX('Items'!$B$3:$B$202,MATCH($B382,'Items'!$A$3:$A$202,0)),""))</f>
        <v/>
      </c>
      <c r="D382" s="4" t="n"/>
      <c r="E382" s="4" t="n"/>
      <c r="F382" s="6" t="n"/>
      <c r="G382" s="4" t="n"/>
      <c r="H382" s="4" t="n"/>
      <c r="I382" s="4" t="n"/>
      <c r="J382" s="4" t="n"/>
    </row>
    <row r="383">
      <c r="A383" s="5" t="n"/>
      <c r="B383" s="4" t="n"/>
      <c r="C383" s="8">
        <f>IF($B383="","",IFERROR(INDEX('Items'!$B$3:$B$202,MATCH($B383,'Items'!$A$3:$A$202,0)),""))</f>
        <v/>
      </c>
      <c r="D383" s="4" t="n"/>
      <c r="E383" s="4" t="n"/>
      <c r="F383" s="6" t="n"/>
      <c r="G383" s="4" t="n"/>
      <c r="H383" s="4" t="n"/>
      <c r="I383" s="4" t="n"/>
      <c r="J383" s="4" t="n"/>
    </row>
    <row r="384">
      <c r="A384" s="5" t="n"/>
      <c r="B384" s="4" t="n"/>
      <c r="C384" s="8">
        <f>IF($B384="","",IFERROR(INDEX('Items'!$B$3:$B$202,MATCH($B384,'Items'!$A$3:$A$202,0)),""))</f>
        <v/>
      </c>
      <c r="D384" s="4" t="n"/>
      <c r="E384" s="4" t="n"/>
      <c r="F384" s="6" t="n"/>
      <c r="G384" s="4" t="n"/>
      <c r="H384" s="4" t="n"/>
      <c r="I384" s="4" t="n"/>
      <c r="J384" s="4" t="n"/>
    </row>
    <row r="385">
      <c r="A385" s="5" t="n"/>
      <c r="B385" s="4" t="n"/>
      <c r="C385" s="8">
        <f>IF($B385="","",IFERROR(INDEX('Items'!$B$3:$B$202,MATCH($B385,'Items'!$A$3:$A$202,0)),""))</f>
        <v/>
      </c>
      <c r="D385" s="4" t="n"/>
      <c r="E385" s="4" t="n"/>
      <c r="F385" s="6" t="n"/>
      <c r="G385" s="4" t="n"/>
      <c r="H385" s="4" t="n"/>
      <c r="I385" s="4" t="n"/>
      <c r="J385" s="4" t="n"/>
    </row>
    <row r="386">
      <c r="A386" s="5" t="n"/>
      <c r="B386" s="4" t="n"/>
      <c r="C386" s="8">
        <f>IF($B386="","",IFERROR(INDEX('Items'!$B$3:$B$202,MATCH($B386,'Items'!$A$3:$A$202,0)),""))</f>
        <v/>
      </c>
      <c r="D386" s="4" t="n"/>
      <c r="E386" s="4" t="n"/>
      <c r="F386" s="6" t="n"/>
      <c r="G386" s="4" t="n"/>
      <c r="H386" s="4" t="n"/>
      <c r="I386" s="4" t="n"/>
      <c r="J386" s="4" t="n"/>
    </row>
    <row r="387">
      <c r="A387" s="5" t="n"/>
      <c r="B387" s="4" t="n"/>
      <c r="C387" s="8">
        <f>IF($B387="","",IFERROR(INDEX('Items'!$B$3:$B$202,MATCH($B387,'Items'!$A$3:$A$202,0)),""))</f>
        <v/>
      </c>
      <c r="D387" s="4" t="n"/>
      <c r="E387" s="4" t="n"/>
      <c r="F387" s="6" t="n"/>
      <c r="G387" s="4" t="n"/>
      <c r="H387" s="4" t="n"/>
      <c r="I387" s="4" t="n"/>
      <c r="J387" s="4" t="n"/>
    </row>
    <row r="388">
      <c r="A388" s="5" t="n"/>
      <c r="B388" s="4" t="n"/>
      <c r="C388" s="8">
        <f>IF($B388="","",IFERROR(INDEX('Items'!$B$3:$B$202,MATCH($B388,'Items'!$A$3:$A$202,0)),""))</f>
        <v/>
      </c>
      <c r="D388" s="4" t="n"/>
      <c r="E388" s="4" t="n"/>
      <c r="F388" s="6" t="n"/>
      <c r="G388" s="4" t="n"/>
      <c r="H388" s="4" t="n"/>
      <c r="I388" s="4" t="n"/>
      <c r="J388" s="4" t="n"/>
    </row>
    <row r="389">
      <c r="A389" s="5" t="n"/>
      <c r="B389" s="4" t="n"/>
      <c r="C389" s="8">
        <f>IF($B389="","",IFERROR(INDEX('Items'!$B$3:$B$202,MATCH($B389,'Items'!$A$3:$A$202,0)),""))</f>
        <v/>
      </c>
      <c r="D389" s="4" t="n"/>
      <c r="E389" s="4" t="n"/>
      <c r="F389" s="6" t="n"/>
      <c r="G389" s="4" t="n"/>
      <c r="H389" s="4" t="n"/>
      <c r="I389" s="4" t="n"/>
      <c r="J389" s="4" t="n"/>
    </row>
    <row r="390">
      <c r="A390" s="5" t="n"/>
      <c r="B390" s="4" t="n"/>
      <c r="C390" s="8">
        <f>IF($B390="","",IFERROR(INDEX('Items'!$B$3:$B$202,MATCH($B390,'Items'!$A$3:$A$202,0)),""))</f>
        <v/>
      </c>
      <c r="D390" s="4" t="n"/>
      <c r="E390" s="4" t="n"/>
      <c r="F390" s="6" t="n"/>
      <c r="G390" s="4" t="n"/>
      <c r="H390" s="4" t="n"/>
      <c r="I390" s="4" t="n"/>
      <c r="J390" s="4" t="n"/>
    </row>
    <row r="391">
      <c r="A391" s="5" t="n"/>
      <c r="B391" s="4" t="n"/>
      <c r="C391" s="8">
        <f>IF($B391="","",IFERROR(INDEX('Items'!$B$3:$B$202,MATCH($B391,'Items'!$A$3:$A$202,0)),""))</f>
        <v/>
      </c>
      <c r="D391" s="4" t="n"/>
      <c r="E391" s="4" t="n"/>
      <c r="F391" s="6" t="n"/>
      <c r="G391" s="4" t="n"/>
      <c r="H391" s="4" t="n"/>
      <c r="I391" s="4" t="n"/>
      <c r="J391" s="4" t="n"/>
    </row>
    <row r="392">
      <c r="A392" s="5" t="n"/>
      <c r="B392" s="4" t="n"/>
      <c r="C392" s="8">
        <f>IF($B392="","",IFERROR(INDEX('Items'!$B$3:$B$202,MATCH($B392,'Items'!$A$3:$A$202,0)),""))</f>
        <v/>
      </c>
      <c r="D392" s="4" t="n"/>
      <c r="E392" s="4" t="n"/>
      <c r="F392" s="6" t="n"/>
      <c r="G392" s="4" t="n"/>
      <c r="H392" s="4" t="n"/>
      <c r="I392" s="4" t="n"/>
      <c r="J392" s="4" t="n"/>
    </row>
    <row r="393">
      <c r="A393" s="5" t="n"/>
      <c r="B393" s="4" t="n"/>
      <c r="C393" s="8">
        <f>IF($B393="","",IFERROR(INDEX('Items'!$B$3:$B$202,MATCH($B393,'Items'!$A$3:$A$202,0)),""))</f>
        <v/>
      </c>
      <c r="D393" s="4" t="n"/>
      <c r="E393" s="4" t="n"/>
      <c r="F393" s="6" t="n"/>
      <c r="G393" s="4" t="n"/>
      <c r="H393" s="4" t="n"/>
      <c r="I393" s="4" t="n"/>
      <c r="J393" s="4" t="n"/>
    </row>
    <row r="394">
      <c r="A394" s="5" t="n"/>
      <c r="B394" s="4" t="n"/>
      <c r="C394" s="8">
        <f>IF($B394="","",IFERROR(INDEX('Items'!$B$3:$B$202,MATCH($B394,'Items'!$A$3:$A$202,0)),""))</f>
        <v/>
      </c>
      <c r="D394" s="4" t="n"/>
      <c r="E394" s="4" t="n"/>
      <c r="F394" s="6" t="n"/>
      <c r="G394" s="4" t="n"/>
      <c r="H394" s="4" t="n"/>
      <c r="I394" s="4" t="n"/>
      <c r="J394" s="4" t="n"/>
    </row>
    <row r="395">
      <c r="A395" s="5" t="n"/>
      <c r="B395" s="4" t="n"/>
      <c r="C395" s="8">
        <f>IF($B395="","",IFERROR(INDEX('Items'!$B$3:$B$202,MATCH($B395,'Items'!$A$3:$A$202,0)),""))</f>
        <v/>
      </c>
      <c r="D395" s="4" t="n"/>
      <c r="E395" s="4" t="n"/>
      <c r="F395" s="6" t="n"/>
      <c r="G395" s="4" t="n"/>
      <c r="H395" s="4" t="n"/>
      <c r="I395" s="4" t="n"/>
      <c r="J395" s="4" t="n"/>
    </row>
    <row r="396">
      <c r="A396" s="5" t="n"/>
      <c r="B396" s="4" t="n"/>
      <c r="C396" s="8">
        <f>IF($B396="","",IFERROR(INDEX('Items'!$B$3:$B$202,MATCH($B396,'Items'!$A$3:$A$202,0)),""))</f>
        <v/>
      </c>
      <c r="D396" s="4" t="n"/>
      <c r="E396" s="4" t="n"/>
      <c r="F396" s="6" t="n"/>
      <c r="G396" s="4" t="n"/>
      <c r="H396" s="4" t="n"/>
      <c r="I396" s="4" t="n"/>
      <c r="J396" s="4" t="n"/>
    </row>
    <row r="397">
      <c r="A397" s="5" t="n"/>
      <c r="B397" s="4" t="n"/>
      <c r="C397" s="8">
        <f>IF($B397="","",IFERROR(INDEX('Items'!$B$3:$B$202,MATCH($B397,'Items'!$A$3:$A$202,0)),""))</f>
        <v/>
      </c>
      <c r="D397" s="4" t="n"/>
      <c r="E397" s="4" t="n"/>
      <c r="F397" s="6" t="n"/>
      <c r="G397" s="4" t="n"/>
      <c r="H397" s="4" t="n"/>
      <c r="I397" s="4" t="n"/>
      <c r="J397" s="4" t="n"/>
    </row>
    <row r="398">
      <c r="A398" s="5" t="n"/>
      <c r="B398" s="4" t="n"/>
      <c r="C398" s="8">
        <f>IF($B398="","",IFERROR(INDEX('Items'!$B$3:$B$202,MATCH($B398,'Items'!$A$3:$A$202,0)),""))</f>
        <v/>
      </c>
      <c r="D398" s="4" t="n"/>
      <c r="E398" s="4" t="n"/>
      <c r="F398" s="6" t="n"/>
      <c r="G398" s="4" t="n"/>
      <c r="H398" s="4" t="n"/>
      <c r="I398" s="4" t="n"/>
      <c r="J398" s="4" t="n"/>
    </row>
    <row r="399">
      <c r="A399" s="5" t="n"/>
      <c r="B399" s="4" t="n"/>
      <c r="C399" s="8">
        <f>IF($B399="","",IFERROR(INDEX('Items'!$B$3:$B$202,MATCH($B399,'Items'!$A$3:$A$202,0)),""))</f>
        <v/>
      </c>
      <c r="D399" s="4" t="n"/>
      <c r="E399" s="4" t="n"/>
      <c r="F399" s="6" t="n"/>
      <c r="G399" s="4" t="n"/>
      <c r="H399" s="4" t="n"/>
      <c r="I399" s="4" t="n"/>
      <c r="J399" s="4" t="n"/>
    </row>
    <row r="400">
      <c r="A400" s="5" t="n"/>
      <c r="B400" s="4" t="n"/>
      <c r="C400" s="8">
        <f>IF($B400="","",IFERROR(INDEX('Items'!$B$3:$B$202,MATCH($B400,'Items'!$A$3:$A$202,0)),""))</f>
        <v/>
      </c>
      <c r="D400" s="4" t="n"/>
      <c r="E400" s="4" t="n"/>
      <c r="F400" s="6" t="n"/>
      <c r="G400" s="4" t="n"/>
      <c r="H400" s="4" t="n"/>
      <c r="I400" s="4" t="n"/>
      <c r="J400" s="4" t="n"/>
    </row>
    <row r="401">
      <c r="A401" s="5" t="n"/>
      <c r="B401" s="4" t="n"/>
      <c r="C401" s="8">
        <f>IF($B401="","",IFERROR(INDEX('Items'!$B$3:$B$202,MATCH($B401,'Items'!$A$3:$A$202,0)),""))</f>
        <v/>
      </c>
      <c r="D401" s="4" t="n"/>
      <c r="E401" s="4" t="n"/>
      <c r="F401" s="6" t="n"/>
      <c r="G401" s="4" t="n"/>
      <c r="H401" s="4" t="n"/>
      <c r="I401" s="4" t="n"/>
      <c r="J401" s="4" t="n"/>
    </row>
    <row r="402">
      <c r="A402" s="5" t="n"/>
      <c r="B402" s="4" t="n"/>
      <c r="C402" s="8">
        <f>IF($B402="","",IFERROR(INDEX('Items'!$B$3:$B$202,MATCH($B402,'Items'!$A$3:$A$202,0)),""))</f>
        <v/>
      </c>
      <c r="D402" s="4" t="n"/>
      <c r="E402" s="4" t="n"/>
      <c r="F402" s="6" t="n"/>
      <c r="G402" s="4" t="n"/>
      <c r="H402" s="4" t="n"/>
      <c r="I402" s="4" t="n"/>
      <c r="J402" s="4" t="n"/>
    </row>
    <row r="403">
      <c r="A403" s="5" t="n"/>
      <c r="B403" s="4" t="n"/>
      <c r="C403" s="8">
        <f>IF($B403="","",IFERROR(INDEX('Items'!$B$3:$B$202,MATCH($B403,'Items'!$A$3:$A$202,0)),""))</f>
        <v/>
      </c>
      <c r="D403" s="4" t="n"/>
      <c r="E403" s="4" t="n"/>
      <c r="F403" s="6" t="n"/>
      <c r="G403" s="4" t="n"/>
      <c r="H403" s="4" t="n"/>
      <c r="I403" s="4" t="n"/>
      <c r="J403" s="4" t="n"/>
    </row>
    <row r="404">
      <c r="A404" s="5" t="n"/>
      <c r="B404" s="4" t="n"/>
      <c r="C404" s="8">
        <f>IF($B404="","",IFERROR(INDEX('Items'!$B$3:$B$202,MATCH($B404,'Items'!$A$3:$A$202,0)),""))</f>
        <v/>
      </c>
      <c r="D404" s="4" t="n"/>
      <c r="E404" s="4" t="n"/>
      <c r="F404" s="6" t="n"/>
      <c r="G404" s="4" t="n"/>
      <c r="H404" s="4" t="n"/>
      <c r="I404" s="4" t="n"/>
      <c r="J404" s="4" t="n"/>
    </row>
    <row r="405">
      <c r="A405" s="5" t="n"/>
      <c r="B405" s="4" t="n"/>
      <c r="C405" s="8">
        <f>IF($B405="","",IFERROR(INDEX('Items'!$B$3:$B$202,MATCH($B405,'Items'!$A$3:$A$202,0)),""))</f>
        <v/>
      </c>
      <c r="D405" s="4" t="n"/>
      <c r="E405" s="4" t="n"/>
      <c r="F405" s="6" t="n"/>
      <c r="G405" s="4" t="n"/>
      <c r="H405" s="4" t="n"/>
      <c r="I405" s="4" t="n"/>
      <c r="J405" s="4" t="n"/>
    </row>
    <row r="406">
      <c r="A406" s="5" t="n"/>
      <c r="B406" s="4" t="n"/>
      <c r="C406" s="8">
        <f>IF($B406="","",IFERROR(INDEX('Items'!$B$3:$B$202,MATCH($B406,'Items'!$A$3:$A$202,0)),""))</f>
        <v/>
      </c>
      <c r="D406" s="4" t="n"/>
      <c r="E406" s="4" t="n"/>
      <c r="F406" s="6" t="n"/>
      <c r="G406" s="4" t="n"/>
      <c r="H406" s="4" t="n"/>
      <c r="I406" s="4" t="n"/>
      <c r="J406" s="4" t="n"/>
    </row>
    <row r="407">
      <c r="A407" s="5" t="n"/>
      <c r="B407" s="4" t="n"/>
      <c r="C407" s="8">
        <f>IF($B407="","",IFERROR(INDEX('Items'!$B$3:$B$202,MATCH($B407,'Items'!$A$3:$A$202,0)),""))</f>
        <v/>
      </c>
      <c r="D407" s="4" t="n"/>
      <c r="E407" s="4" t="n"/>
      <c r="F407" s="6" t="n"/>
      <c r="G407" s="4" t="n"/>
      <c r="H407" s="4" t="n"/>
      <c r="I407" s="4" t="n"/>
      <c r="J407" s="4" t="n"/>
    </row>
    <row r="408">
      <c r="A408" s="5" t="n"/>
      <c r="B408" s="4" t="n"/>
      <c r="C408" s="8">
        <f>IF($B408="","",IFERROR(INDEX('Items'!$B$3:$B$202,MATCH($B408,'Items'!$A$3:$A$202,0)),""))</f>
        <v/>
      </c>
      <c r="D408" s="4" t="n"/>
      <c r="E408" s="4" t="n"/>
      <c r="F408" s="6" t="n"/>
      <c r="G408" s="4" t="n"/>
      <c r="H408" s="4" t="n"/>
      <c r="I408" s="4" t="n"/>
      <c r="J408" s="4" t="n"/>
    </row>
    <row r="409">
      <c r="A409" s="5" t="n"/>
      <c r="B409" s="4" t="n"/>
      <c r="C409" s="8">
        <f>IF($B409="","",IFERROR(INDEX('Items'!$B$3:$B$202,MATCH($B409,'Items'!$A$3:$A$202,0)),""))</f>
        <v/>
      </c>
      <c r="D409" s="4" t="n"/>
      <c r="E409" s="4" t="n"/>
      <c r="F409" s="6" t="n"/>
      <c r="G409" s="4" t="n"/>
      <c r="H409" s="4" t="n"/>
      <c r="I409" s="4" t="n"/>
      <c r="J409" s="4" t="n"/>
    </row>
    <row r="410">
      <c r="A410" s="5" t="n"/>
      <c r="B410" s="4" t="n"/>
      <c r="C410" s="8">
        <f>IF($B410="","",IFERROR(INDEX('Items'!$B$3:$B$202,MATCH($B410,'Items'!$A$3:$A$202,0)),""))</f>
        <v/>
      </c>
      <c r="D410" s="4" t="n"/>
      <c r="E410" s="4" t="n"/>
      <c r="F410" s="6" t="n"/>
      <c r="G410" s="4" t="n"/>
      <c r="H410" s="4" t="n"/>
      <c r="I410" s="4" t="n"/>
      <c r="J410" s="4" t="n"/>
    </row>
    <row r="411">
      <c r="A411" s="5" t="n"/>
      <c r="B411" s="4" t="n"/>
      <c r="C411" s="8">
        <f>IF($B411="","",IFERROR(INDEX('Items'!$B$3:$B$202,MATCH($B411,'Items'!$A$3:$A$202,0)),""))</f>
        <v/>
      </c>
      <c r="D411" s="4" t="n"/>
      <c r="E411" s="4" t="n"/>
      <c r="F411" s="6" t="n"/>
      <c r="G411" s="4" t="n"/>
      <c r="H411" s="4" t="n"/>
      <c r="I411" s="4" t="n"/>
      <c r="J411" s="4" t="n"/>
    </row>
    <row r="412">
      <c r="A412" s="5" t="n"/>
      <c r="B412" s="4" t="n"/>
      <c r="C412" s="8">
        <f>IF($B412="","",IFERROR(INDEX('Items'!$B$3:$B$202,MATCH($B412,'Items'!$A$3:$A$202,0)),""))</f>
        <v/>
      </c>
      <c r="D412" s="4" t="n"/>
      <c r="E412" s="4" t="n"/>
      <c r="F412" s="6" t="n"/>
      <c r="G412" s="4" t="n"/>
      <c r="H412" s="4" t="n"/>
      <c r="I412" s="4" t="n"/>
      <c r="J412" s="4" t="n"/>
    </row>
    <row r="413">
      <c r="A413" s="5" t="n"/>
      <c r="B413" s="4" t="n"/>
      <c r="C413" s="8">
        <f>IF($B413="","",IFERROR(INDEX('Items'!$B$3:$B$202,MATCH($B413,'Items'!$A$3:$A$202,0)),""))</f>
        <v/>
      </c>
      <c r="D413" s="4" t="n"/>
      <c r="E413" s="4" t="n"/>
      <c r="F413" s="6" t="n"/>
      <c r="G413" s="4" t="n"/>
      <c r="H413" s="4" t="n"/>
      <c r="I413" s="4" t="n"/>
      <c r="J413" s="4" t="n"/>
    </row>
    <row r="414">
      <c r="A414" s="5" t="n"/>
      <c r="B414" s="4" t="n"/>
      <c r="C414" s="8">
        <f>IF($B414="","",IFERROR(INDEX('Items'!$B$3:$B$202,MATCH($B414,'Items'!$A$3:$A$202,0)),""))</f>
        <v/>
      </c>
      <c r="D414" s="4" t="n"/>
      <c r="E414" s="4" t="n"/>
      <c r="F414" s="6" t="n"/>
      <c r="G414" s="4" t="n"/>
      <c r="H414" s="4" t="n"/>
      <c r="I414" s="4" t="n"/>
      <c r="J414" s="4" t="n"/>
    </row>
    <row r="415">
      <c r="A415" s="5" t="n"/>
      <c r="B415" s="4" t="n"/>
      <c r="C415" s="8">
        <f>IF($B415="","",IFERROR(INDEX('Items'!$B$3:$B$202,MATCH($B415,'Items'!$A$3:$A$202,0)),""))</f>
        <v/>
      </c>
      <c r="D415" s="4" t="n"/>
      <c r="E415" s="4" t="n"/>
      <c r="F415" s="6" t="n"/>
      <c r="G415" s="4" t="n"/>
      <c r="H415" s="4" t="n"/>
      <c r="I415" s="4" t="n"/>
      <c r="J415" s="4" t="n"/>
    </row>
    <row r="416">
      <c r="A416" s="5" t="n"/>
      <c r="B416" s="4" t="n"/>
      <c r="C416" s="8">
        <f>IF($B416="","",IFERROR(INDEX('Items'!$B$3:$B$202,MATCH($B416,'Items'!$A$3:$A$202,0)),""))</f>
        <v/>
      </c>
      <c r="D416" s="4" t="n"/>
      <c r="E416" s="4" t="n"/>
      <c r="F416" s="6" t="n"/>
      <c r="G416" s="4" t="n"/>
      <c r="H416" s="4" t="n"/>
      <c r="I416" s="4" t="n"/>
      <c r="J416" s="4" t="n"/>
    </row>
    <row r="417">
      <c r="A417" s="5" t="n"/>
      <c r="B417" s="4" t="n"/>
      <c r="C417" s="8">
        <f>IF($B417="","",IFERROR(INDEX('Items'!$B$3:$B$202,MATCH($B417,'Items'!$A$3:$A$202,0)),""))</f>
        <v/>
      </c>
      <c r="D417" s="4" t="n"/>
      <c r="E417" s="4" t="n"/>
      <c r="F417" s="6" t="n"/>
      <c r="G417" s="4" t="n"/>
      <c r="H417" s="4" t="n"/>
      <c r="I417" s="4" t="n"/>
      <c r="J417" s="4" t="n"/>
    </row>
    <row r="418">
      <c r="A418" s="5" t="n"/>
      <c r="B418" s="4" t="n"/>
      <c r="C418" s="8">
        <f>IF($B418="","",IFERROR(INDEX('Items'!$B$3:$B$202,MATCH($B418,'Items'!$A$3:$A$202,0)),""))</f>
        <v/>
      </c>
      <c r="D418" s="4" t="n"/>
      <c r="E418" s="4" t="n"/>
      <c r="F418" s="6" t="n"/>
      <c r="G418" s="4" t="n"/>
      <c r="H418" s="4" t="n"/>
      <c r="I418" s="4" t="n"/>
      <c r="J418" s="4" t="n"/>
    </row>
    <row r="419">
      <c r="A419" s="5" t="n"/>
      <c r="B419" s="4" t="n"/>
      <c r="C419" s="8">
        <f>IF($B419="","",IFERROR(INDEX('Items'!$B$3:$B$202,MATCH($B419,'Items'!$A$3:$A$202,0)),""))</f>
        <v/>
      </c>
      <c r="D419" s="4" t="n"/>
      <c r="E419" s="4" t="n"/>
      <c r="F419" s="6" t="n"/>
      <c r="G419" s="4" t="n"/>
      <c r="H419" s="4" t="n"/>
      <c r="I419" s="4" t="n"/>
      <c r="J419" s="4" t="n"/>
    </row>
    <row r="420">
      <c r="A420" s="5" t="n"/>
      <c r="B420" s="4" t="n"/>
      <c r="C420" s="8">
        <f>IF($B420="","",IFERROR(INDEX('Items'!$B$3:$B$202,MATCH($B420,'Items'!$A$3:$A$202,0)),""))</f>
        <v/>
      </c>
      <c r="D420" s="4" t="n"/>
      <c r="E420" s="4" t="n"/>
      <c r="F420" s="6" t="n"/>
      <c r="G420" s="4" t="n"/>
      <c r="H420" s="4" t="n"/>
      <c r="I420" s="4" t="n"/>
      <c r="J420" s="4" t="n"/>
    </row>
    <row r="421">
      <c r="A421" s="5" t="n"/>
      <c r="B421" s="4" t="n"/>
      <c r="C421" s="8">
        <f>IF($B421="","",IFERROR(INDEX('Items'!$B$3:$B$202,MATCH($B421,'Items'!$A$3:$A$202,0)),""))</f>
        <v/>
      </c>
      <c r="D421" s="4" t="n"/>
      <c r="E421" s="4" t="n"/>
      <c r="F421" s="6" t="n"/>
      <c r="G421" s="4" t="n"/>
      <c r="H421" s="4" t="n"/>
      <c r="I421" s="4" t="n"/>
      <c r="J421" s="4" t="n"/>
    </row>
    <row r="422">
      <c r="A422" s="5" t="n"/>
      <c r="B422" s="4" t="n"/>
      <c r="C422" s="8">
        <f>IF($B422="","",IFERROR(INDEX('Items'!$B$3:$B$202,MATCH($B422,'Items'!$A$3:$A$202,0)),""))</f>
        <v/>
      </c>
      <c r="D422" s="4" t="n"/>
      <c r="E422" s="4" t="n"/>
      <c r="F422" s="6" t="n"/>
      <c r="G422" s="4" t="n"/>
      <c r="H422" s="4" t="n"/>
      <c r="I422" s="4" t="n"/>
      <c r="J422" s="4" t="n"/>
    </row>
    <row r="423">
      <c r="A423" s="5" t="n"/>
      <c r="B423" s="4" t="n"/>
      <c r="C423" s="8">
        <f>IF($B423="","",IFERROR(INDEX('Items'!$B$3:$B$202,MATCH($B423,'Items'!$A$3:$A$202,0)),""))</f>
        <v/>
      </c>
      <c r="D423" s="4" t="n"/>
      <c r="E423" s="4" t="n"/>
      <c r="F423" s="6" t="n"/>
      <c r="G423" s="4" t="n"/>
      <c r="H423" s="4" t="n"/>
      <c r="I423" s="4" t="n"/>
      <c r="J423" s="4" t="n"/>
    </row>
    <row r="424">
      <c r="A424" s="5" t="n"/>
      <c r="B424" s="4" t="n"/>
      <c r="C424" s="8">
        <f>IF($B424="","",IFERROR(INDEX('Items'!$B$3:$B$202,MATCH($B424,'Items'!$A$3:$A$202,0)),""))</f>
        <v/>
      </c>
      <c r="D424" s="4" t="n"/>
      <c r="E424" s="4" t="n"/>
      <c r="F424" s="6" t="n"/>
      <c r="G424" s="4" t="n"/>
      <c r="H424" s="4" t="n"/>
      <c r="I424" s="4" t="n"/>
      <c r="J424" s="4" t="n"/>
    </row>
    <row r="425">
      <c r="A425" s="5" t="n"/>
      <c r="B425" s="4" t="n"/>
      <c r="C425" s="8">
        <f>IF($B425="","",IFERROR(INDEX('Items'!$B$3:$B$202,MATCH($B425,'Items'!$A$3:$A$202,0)),""))</f>
        <v/>
      </c>
      <c r="D425" s="4" t="n"/>
      <c r="E425" s="4" t="n"/>
      <c r="F425" s="6" t="n"/>
      <c r="G425" s="4" t="n"/>
      <c r="H425" s="4" t="n"/>
      <c r="I425" s="4" t="n"/>
      <c r="J425" s="4" t="n"/>
    </row>
    <row r="426">
      <c r="A426" s="5" t="n"/>
      <c r="B426" s="4" t="n"/>
      <c r="C426" s="8">
        <f>IF($B426="","",IFERROR(INDEX('Items'!$B$3:$B$202,MATCH($B426,'Items'!$A$3:$A$202,0)),""))</f>
        <v/>
      </c>
      <c r="D426" s="4" t="n"/>
      <c r="E426" s="4" t="n"/>
      <c r="F426" s="6" t="n"/>
      <c r="G426" s="4" t="n"/>
      <c r="H426" s="4" t="n"/>
      <c r="I426" s="4" t="n"/>
      <c r="J426" s="4" t="n"/>
    </row>
    <row r="427">
      <c r="A427" s="5" t="n"/>
      <c r="B427" s="4" t="n"/>
      <c r="C427" s="8">
        <f>IF($B427="","",IFERROR(INDEX('Items'!$B$3:$B$202,MATCH($B427,'Items'!$A$3:$A$202,0)),""))</f>
        <v/>
      </c>
      <c r="D427" s="4" t="n"/>
      <c r="E427" s="4" t="n"/>
      <c r="F427" s="6" t="n"/>
      <c r="G427" s="4" t="n"/>
      <c r="H427" s="4" t="n"/>
      <c r="I427" s="4" t="n"/>
      <c r="J427" s="4" t="n"/>
    </row>
    <row r="428">
      <c r="A428" s="5" t="n"/>
      <c r="B428" s="4" t="n"/>
      <c r="C428" s="8">
        <f>IF($B428="","",IFERROR(INDEX('Items'!$B$3:$B$202,MATCH($B428,'Items'!$A$3:$A$202,0)),""))</f>
        <v/>
      </c>
      <c r="D428" s="4" t="n"/>
      <c r="E428" s="4" t="n"/>
      <c r="F428" s="6" t="n"/>
      <c r="G428" s="4" t="n"/>
      <c r="H428" s="4" t="n"/>
      <c r="I428" s="4" t="n"/>
      <c r="J428" s="4" t="n"/>
    </row>
    <row r="429">
      <c r="A429" s="5" t="n"/>
      <c r="B429" s="4" t="n"/>
      <c r="C429" s="8">
        <f>IF($B429="","",IFERROR(INDEX('Items'!$B$3:$B$202,MATCH($B429,'Items'!$A$3:$A$202,0)),""))</f>
        <v/>
      </c>
      <c r="D429" s="4" t="n"/>
      <c r="E429" s="4" t="n"/>
      <c r="F429" s="6" t="n"/>
      <c r="G429" s="4" t="n"/>
      <c r="H429" s="4" t="n"/>
      <c r="I429" s="4" t="n"/>
      <c r="J429" s="4" t="n"/>
    </row>
    <row r="430">
      <c r="A430" s="5" t="n"/>
      <c r="B430" s="4" t="n"/>
      <c r="C430" s="8">
        <f>IF($B430="","",IFERROR(INDEX('Items'!$B$3:$B$202,MATCH($B430,'Items'!$A$3:$A$202,0)),""))</f>
        <v/>
      </c>
      <c r="D430" s="4" t="n"/>
      <c r="E430" s="4" t="n"/>
      <c r="F430" s="6" t="n"/>
      <c r="G430" s="4" t="n"/>
      <c r="H430" s="4" t="n"/>
      <c r="I430" s="4" t="n"/>
      <c r="J430" s="4" t="n"/>
    </row>
    <row r="431">
      <c r="A431" s="5" t="n"/>
      <c r="B431" s="4" t="n"/>
      <c r="C431" s="8">
        <f>IF($B431="","",IFERROR(INDEX('Items'!$B$3:$B$202,MATCH($B431,'Items'!$A$3:$A$202,0)),""))</f>
        <v/>
      </c>
      <c r="D431" s="4" t="n"/>
      <c r="E431" s="4" t="n"/>
      <c r="F431" s="6" t="n"/>
      <c r="G431" s="4" t="n"/>
      <c r="H431" s="4" t="n"/>
      <c r="I431" s="4" t="n"/>
      <c r="J431" s="4" t="n"/>
    </row>
    <row r="432">
      <c r="A432" s="5" t="n"/>
      <c r="B432" s="4" t="n"/>
      <c r="C432" s="8">
        <f>IF($B432="","",IFERROR(INDEX('Items'!$B$3:$B$202,MATCH($B432,'Items'!$A$3:$A$202,0)),""))</f>
        <v/>
      </c>
      <c r="D432" s="4" t="n"/>
      <c r="E432" s="4" t="n"/>
      <c r="F432" s="6" t="n"/>
      <c r="G432" s="4" t="n"/>
      <c r="H432" s="4" t="n"/>
      <c r="I432" s="4" t="n"/>
      <c r="J432" s="4" t="n"/>
    </row>
    <row r="433">
      <c r="A433" s="5" t="n"/>
      <c r="B433" s="4" t="n"/>
      <c r="C433" s="8">
        <f>IF($B433="","",IFERROR(INDEX('Items'!$B$3:$B$202,MATCH($B433,'Items'!$A$3:$A$202,0)),""))</f>
        <v/>
      </c>
      <c r="D433" s="4" t="n"/>
      <c r="E433" s="4" t="n"/>
      <c r="F433" s="6" t="n"/>
      <c r="G433" s="4" t="n"/>
      <c r="H433" s="4" t="n"/>
      <c r="I433" s="4" t="n"/>
      <c r="J433" s="4" t="n"/>
    </row>
    <row r="434">
      <c r="A434" s="5" t="n"/>
      <c r="B434" s="4" t="n"/>
      <c r="C434" s="8">
        <f>IF($B434="","",IFERROR(INDEX('Items'!$B$3:$B$202,MATCH($B434,'Items'!$A$3:$A$202,0)),""))</f>
        <v/>
      </c>
      <c r="D434" s="4" t="n"/>
      <c r="E434" s="4" t="n"/>
      <c r="F434" s="6" t="n"/>
      <c r="G434" s="4" t="n"/>
      <c r="H434" s="4" t="n"/>
      <c r="I434" s="4" t="n"/>
      <c r="J434" s="4" t="n"/>
    </row>
    <row r="435">
      <c r="A435" s="5" t="n"/>
      <c r="B435" s="4" t="n"/>
      <c r="C435" s="8">
        <f>IF($B435="","",IFERROR(INDEX('Items'!$B$3:$B$202,MATCH($B435,'Items'!$A$3:$A$202,0)),""))</f>
        <v/>
      </c>
      <c r="D435" s="4" t="n"/>
      <c r="E435" s="4" t="n"/>
      <c r="F435" s="6" t="n"/>
      <c r="G435" s="4" t="n"/>
      <c r="H435" s="4" t="n"/>
      <c r="I435" s="4" t="n"/>
      <c r="J435" s="4" t="n"/>
    </row>
    <row r="436">
      <c r="A436" s="5" t="n"/>
      <c r="B436" s="4" t="n"/>
      <c r="C436" s="8">
        <f>IF($B436="","",IFERROR(INDEX('Items'!$B$3:$B$202,MATCH($B436,'Items'!$A$3:$A$202,0)),""))</f>
        <v/>
      </c>
      <c r="D436" s="4" t="n"/>
      <c r="E436" s="4" t="n"/>
      <c r="F436" s="6" t="n"/>
      <c r="G436" s="4" t="n"/>
      <c r="H436" s="4" t="n"/>
      <c r="I436" s="4" t="n"/>
      <c r="J436" s="4" t="n"/>
    </row>
    <row r="437">
      <c r="A437" s="5" t="n"/>
      <c r="B437" s="4" t="n"/>
      <c r="C437" s="8">
        <f>IF($B437="","",IFERROR(INDEX('Items'!$B$3:$B$202,MATCH($B437,'Items'!$A$3:$A$202,0)),""))</f>
        <v/>
      </c>
      <c r="D437" s="4" t="n"/>
      <c r="E437" s="4" t="n"/>
      <c r="F437" s="6" t="n"/>
      <c r="G437" s="4" t="n"/>
      <c r="H437" s="4" t="n"/>
      <c r="I437" s="4" t="n"/>
      <c r="J437" s="4" t="n"/>
    </row>
    <row r="438">
      <c r="A438" s="5" t="n"/>
      <c r="B438" s="4" t="n"/>
      <c r="C438" s="8">
        <f>IF($B438="","",IFERROR(INDEX('Items'!$B$3:$B$202,MATCH($B438,'Items'!$A$3:$A$202,0)),""))</f>
        <v/>
      </c>
      <c r="D438" s="4" t="n"/>
      <c r="E438" s="4" t="n"/>
      <c r="F438" s="6" t="n"/>
      <c r="G438" s="4" t="n"/>
      <c r="H438" s="4" t="n"/>
      <c r="I438" s="4" t="n"/>
      <c r="J438" s="4" t="n"/>
    </row>
    <row r="439">
      <c r="A439" s="5" t="n"/>
      <c r="B439" s="4" t="n"/>
      <c r="C439" s="8">
        <f>IF($B439="","",IFERROR(INDEX('Items'!$B$3:$B$202,MATCH($B439,'Items'!$A$3:$A$202,0)),""))</f>
        <v/>
      </c>
      <c r="D439" s="4" t="n"/>
      <c r="E439" s="4" t="n"/>
      <c r="F439" s="6" t="n"/>
      <c r="G439" s="4" t="n"/>
      <c r="H439" s="4" t="n"/>
      <c r="I439" s="4" t="n"/>
      <c r="J439" s="4" t="n"/>
    </row>
    <row r="440">
      <c r="A440" s="5" t="n"/>
      <c r="B440" s="4" t="n"/>
      <c r="C440" s="8">
        <f>IF($B440="","",IFERROR(INDEX('Items'!$B$3:$B$202,MATCH($B440,'Items'!$A$3:$A$202,0)),""))</f>
        <v/>
      </c>
      <c r="D440" s="4" t="n"/>
      <c r="E440" s="4" t="n"/>
      <c r="F440" s="6" t="n"/>
      <c r="G440" s="4" t="n"/>
      <c r="H440" s="4" t="n"/>
      <c r="I440" s="4" t="n"/>
      <c r="J440" s="4" t="n"/>
    </row>
    <row r="441">
      <c r="A441" s="5" t="n"/>
      <c r="B441" s="4" t="n"/>
      <c r="C441" s="8">
        <f>IF($B441="","",IFERROR(INDEX('Items'!$B$3:$B$202,MATCH($B441,'Items'!$A$3:$A$202,0)),""))</f>
        <v/>
      </c>
      <c r="D441" s="4" t="n"/>
      <c r="E441" s="4" t="n"/>
      <c r="F441" s="6" t="n"/>
      <c r="G441" s="4" t="n"/>
      <c r="H441" s="4" t="n"/>
      <c r="I441" s="4" t="n"/>
      <c r="J441" s="4" t="n"/>
    </row>
    <row r="442">
      <c r="A442" s="5" t="n"/>
      <c r="B442" s="4" t="n"/>
      <c r="C442" s="8">
        <f>IF($B442="","",IFERROR(INDEX('Items'!$B$3:$B$202,MATCH($B442,'Items'!$A$3:$A$202,0)),""))</f>
        <v/>
      </c>
      <c r="D442" s="4" t="n"/>
      <c r="E442" s="4" t="n"/>
      <c r="F442" s="6" t="n"/>
      <c r="G442" s="4" t="n"/>
      <c r="H442" s="4" t="n"/>
      <c r="I442" s="4" t="n"/>
      <c r="J442" s="4" t="n"/>
    </row>
    <row r="443">
      <c r="A443" s="5" t="n"/>
      <c r="B443" s="4" t="n"/>
      <c r="C443" s="8">
        <f>IF($B443="","",IFERROR(INDEX('Items'!$B$3:$B$202,MATCH($B443,'Items'!$A$3:$A$202,0)),""))</f>
        <v/>
      </c>
      <c r="D443" s="4" t="n"/>
      <c r="E443" s="4" t="n"/>
      <c r="F443" s="6" t="n"/>
      <c r="G443" s="4" t="n"/>
      <c r="H443" s="4" t="n"/>
      <c r="I443" s="4" t="n"/>
      <c r="J443" s="4" t="n"/>
    </row>
    <row r="444">
      <c r="A444" s="5" t="n"/>
      <c r="B444" s="4" t="n"/>
      <c r="C444" s="8">
        <f>IF($B444="","",IFERROR(INDEX('Items'!$B$3:$B$202,MATCH($B444,'Items'!$A$3:$A$202,0)),""))</f>
        <v/>
      </c>
      <c r="D444" s="4" t="n"/>
      <c r="E444" s="4" t="n"/>
      <c r="F444" s="6" t="n"/>
      <c r="G444" s="4" t="n"/>
      <c r="H444" s="4" t="n"/>
      <c r="I444" s="4" t="n"/>
      <c r="J444" s="4" t="n"/>
    </row>
    <row r="445">
      <c r="A445" s="5" t="n"/>
      <c r="B445" s="4" t="n"/>
      <c r="C445" s="8">
        <f>IF($B445="","",IFERROR(INDEX('Items'!$B$3:$B$202,MATCH($B445,'Items'!$A$3:$A$202,0)),""))</f>
        <v/>
      </c>
      <c r="D445" s="4" t="n"/>
      <c r="E445" s="4" t="n"/>
      <c r="F445" s="6" t="n"/>
      <c r="G445" s="4" t="n"/>
      <c r="H445" s="4" t="n"/>
      <c r="I445" s="4" t="n"/>
      <c r="J445" s="4" t="n"/>
    </row>
    <row r="446">
      <c r="A446" s="5" t="n"/>
      <c r="B446" s="4" t="n"/>
      <c r="C446" s="8">
        <f>IF($B446="","",IFERROR(INDEX('Items'!$B$3:$B$202,MATCH($B446,'Items'!$A$3:$A$202,0)),""))</f>
        <v/>
      </c>
      <c r="D446" s="4" t="n"/>
      <c r="E446" s="4" t="n"/>
      <c r="F446" s="6" t="n"/>
      <c r="G446" s="4" t="n"/>
      <c r="H446" s="4" t="n"/>
      <c r="I446" s="4" t="n"/>
      <c r="J446" s="4" t="n"/>
    </row>
    <row r="447">
      <c r="A447" s="5" t="n"/>
      <c r="B447" s="4" t="n"/>
      <c r="C447" s="8">
        <f>IF($B447="","",IFERROR(INDEX('Items'!$B$3:$B$202,MATCH($B447,'Items'!$A$3:$A$202,0)),""))</f>
        <v/>
      </c>
      <c r="D447" s="4" t="n"/>
      <c r="E447" s="4" t="n"/>
      <c r="F447" s="6" t="n"/>
      <c r="G447" s="4" t="n"/>
      <c r="H447" s="4" t="n"/>
      <c r="I447" s="4" t="n"/>
      <c r="J447" s="4" t="n"/>
    </row>
    <row r="448">
      <c r="A448" s="5" t="n"/>
      <c r="B448" s="4" t="n"/>
      <c r="C448" s="8">
        <f>IF($B448="","",IFERROR(INDEX('Items'!$B$3:$B$202,MATCH($B448,'Items'!$A$3:$A$202,0)),""))</f>
        <v/>
      </c>
      <c r="D448" s="4" t="n"/>
      <c r="E448" s="4" t="n"/>
      <c r="F448" s="6" t="n"/>
      <c r="G448" s="4" t="n"/>
      <c r="H448" s="4" t="n"/>
      <c r="I448" s="4" t="n"/>
      <c r="J448" s="4" t="n"/>
    </row>
    <row r="449">
      <c r="A449" s="5" t="n"/>
      <c r="B449" s="4" t="n"/>
      <c r="C449" s="8">
        <f>IF($B449="","",IFERROR(INDEX('Items'!$B$3:$B$202,MATCH($B449,'Items'!$A$3:$A$202,0)),""))</f>
        <v/>
      </c>
      <c r="D449" s="4" t="n"/>
      <c r="E449" s="4" t="n"/>
      <c r="F449" s="6" t="n"/>
      <c r="G449" s="4" t="n"/>
      <c r="H449" s="4" t="n"/>
      <c r="I449" s="4" t="n"/>
      <c r="J449" s="4" t="n"/>
    </row>
    <row r="450">
      <c r="A450" s="5" t="n"/>
      <c r="B450" s="4" t="n"/>
      <c r="C450" s="8">
        <f>IF($B450="","",IFERROR(INDEX('Items'!$B$3:$B$202,MATCH($B450,'Items'!$A$3:$A$202,0)),""))</f>
        <v/>
      </c>
      <c r="D450" s="4" t="n"/>
      <c r="E450" s="4" t="n"/>
      <c r="F450" s="6" t="n"/>
      <c r="G450" s="4" t="n"/>
      <c r="H450" s="4" t="n"/>
      <c r="I450" s="4" t="n"/>
      <c r="J450" s="4" t="n"/>
    </row>
    <row r="451">
      <c r="A451" s="5" t="n"/>
      <c r="B451" s="4" t="n"/>
      <c r="C451" s="8">
        <f>IF($B451="","",IFERROR(INDEX('Items'!$B$3:$B$202,MATCH($B451,'Items'!$A$3:$A$202,0)),""))</f>
        <v/>
      </c>
      <c r="D451" s="4" t="n"/>
      <c r="E451" s="4" t="n"/>
      <c r="F451" s="6" t="n"/>
      <c r="G451" s="4" t="n"/>
      <c r="H451" s="4" t="n"/>
      <c r="I451" s="4" t="n"/>
      <c r="J451" s="4" t="n"/>
    </row>
    <row r="452">
      <c r="A452" s="5" t="n"/>
      <c r="B452" s="4" t="n"/>
      <c r="C452" s="8">
        <f>IF($B452="","",IFERROR(INDEX('Items'!$B$3:$B$202,MATCH($B452,'Items'!$A$3:$A$202,0)),""))</f>
        <v/>
      </c>
      <c r="D452" s="4" t="n"/>
      <c r="E452" s="4" t="n"/>
      <c r="F452" s="6" t="n"/>
      <c r="G452" s="4" t="n"/>
      <c r="H452" s="4" t="n"/>
      <c r="I452" s="4" t="n"/>
      <c r="J452" s="4" t="n"/>
    </row>
    <row r="453">
      <c r="A453" s="5" t="n"/>
      <c r="B453" s="4" t="n"/>
      <c r="C453" s="8">
        <f>IF($B453="","",IFERROR(INDEX('Items'!$B$3:$B$202,MATCH($B453,'Items'!$A$3:$A$202,0)),""))</f>
        <v/>
      </c>
      <c r="D453" s="4" t="n"/>
      <c r="E453" s="4" t="n"/>
      <c r="F453" s="6" t="n"/>
      <c r="G453" s="4" t="n"/>
      <c r="H453" s="4" t="n"/>
      <c r="I453" s="4" t="n"/>
      <c r="J453" s="4" t="n"/>
    </row>
    <row r="454">
      <c r="A454" s="5" t="n"/>
      <c r="B454" s="4" t="n"/>
      <c r="C454" s="8">
        <f>IF($B454="","",IFERROR(INDEX('Items'!$B$3:$B$202,MATCH($B454,'Items'!$A$3:$A$202,0)),""))</f>
        <v/>
      </c>
      <c r="D454" s="4" t="n"/>
      <c r="E454" s="4" t="n"/>
      <c r="F454" s="6" t="n"/>
      <c r="G454" s="4" t="n"/>
      <c r="H454" s="4" t="n"/>
      <c r="I454" s="4" t="n"/>
      <c r="J454" s="4" t="n"/>
    </row>
    <row r="455">
      <c r="A455" s="5" t="n"/>
      <c r="B455" s="4" t="n"/>
      <c r="C455" s="8">
        <f>IF($B455="","",IFERROR(INDEX('Items'!$B$3:$B$202,MATCH($B455,'Items'!$A$3:$A$202,0)),""))</f>
        <v/>
      </c>
      <c r="D455" s="4" t="n"/>
      <c r="E455" s="4" t="n"/>
      <c r="F455" s="6" t="n"/>
      <c r="G455" s="4" t="n"/>
      <c r="H455" s="4" t="n"/>
      <c r="I455" s="4" t="n"/>
      <c r="J455" s="4" t="n"/>
    </row>
    <row r="456">
      <c r="A456" s="5" t="n"/>
      <c r="B456" s="4" t="n"/>
      <c r="C456" s="8">
        <f>IF($B456="","",IFERROR(INDEX('Items'!$B$3:$B$202,MATCH($B456,'Items'!$A$3:$A$202,0)),""))</f>
        <v/>
      </c>
      <c r="D456" s="4" t="n"/>
      <c r="E456" s="4" t="n"/>
      <c r="F456" s="6" t="n"/>
      <c r="G456" s="4" t="n"/>
      <c r="H456" s="4" t="n"/>
      <c r="I456" s="4" t="n"/>
      <c r="J456" s="4" t="n"/>
    </row>
    <row r="457">
      <c r="A457" s="5" t="n"/>
      <c r="B457" s="4" t="n"/>
      <c r="C457" s="8">
        <f>IF($B457="","",IFERROR(INDEX('Items'!$B$3:$B$202,MATCH($B457,'Items'!$A$3:$A$202,0)),""))</f>
        <v/>
      </c>
      <c r="D457" s="4" t="n"/>
      <c r="E457" s="4" t="n"/>
      <c r="F457" s="6" t="n"/>
      <c r="G457" s="4" t="n"/>
      <c r="H457" s="4" t="n"/>
      <c r="I457" s="4" t="n"/>
      <c r="J457" s="4" t="n"/>
    </row>
    <row r="458">
      <c r="A458" s="5" t="n"/>
      <c r="B458" s="4" t="n"/>
      <c r="C458" s="8">
        <f>IF($B458="","",IFERROR(INDEX('Items'!$B$3:$B$202,MATCH($B458,'Items'!$A$3:$A$202,0)),""))</f>
        <v/>
      </c>
      <c r="D458" s="4" t="n"/>
      <c r="E458" s="4" t="n"/>
      <c r="F458" s="6" t="n"/>
      <c r="G458" s="4" t="n"/>
      <c r="H458" s="4" t="n"/>
      <c r="I458" s="4" t="n"/>
      <c r="J458" s="4" t="n"/>
    </row>
    <row r="459">
      <c r="A459" s="5" t="n"/>
      <c r="B459" s="4" t="n"/>
      <c r="C459" s="8">
        <f>IF($B459="","",IFERROR(INDEX('Items'!$B$3:$B$202,MATCH($B459,'Items'!$A$3:$A$202,0)),""))</f>
        <v/>
      </c>
      <c r="D459" s="4" t="n"/>
      <c r="E459" s="4" t="n"/>
      <c r="F459" s="6" t="n"/>
      <c r="G459" s="4" t="n"/>
      <c r="H459" s="4" t="n"/>
      <c r="I459" s="4" t="n"/>
      <c r="J459" s="4" t="n"/>
    </row>
    <row r="460">
      <c r="A460" s="5" t="n"/>
      <c r="B460" s="4" t="n"/>
      <c r="C460" s="8">
        <f>IF($B460="","",IFERROR(INDEX('Items'!$B$3:$B$202,MATCH($B460,'Items'!$A$3:$A$202,0)),""))</f>
        <v/>
      </c>
      <c r="D460" s="4" t="n"/>
      <c r="E460" s="4" t="n"/>
      <c r="F460" s="6" t="n"/>
      <c r="G460" s="4" t="n"/>
      <c r="H460" s="4" t="n"/>
      <c r="I460" s="4" t="n"/>
      <c r="J460" s="4" t="n"/>
    </row>
    <row r="461">
      <c r="A461" s="5" t="n"/>
      <c r="B461" s="4" t="n"/>
      <c r="C461" s="8">
        <f>IF($B461="","",IFERROR(INDEX('Items'!$B$3:$B$202,MATCH($B461,'Items'!$A$3:$A$202,0)),""))</f>
        <v/>
      </c>
      <c r="D461" s="4" t="n"/>
      <c r="E461" s="4" t="n"/>
      <c r="F461" s="6" t="n"/>
      <c r="G461" s="4" t="n"/>
      <c r="H461" s="4" t="n"/>
      <c r="I461" s="4" t="n"/>
      <c r="J461" s="4" t="n"/>
    </row>
    <row r="462">
      <c r="A462" s="5" t="n"/>
      <c r="B462" s="4" t="n"/>
      <c r="C462" s="8">
        <f>IF($B462="","",IFERROR(INDEX('Items'!$B$3:$B$202,MATCH($B462,'Items'!$A$3:$A$202,0)),""))</f>
        <v/>
      </c>
      <c r="D462" s="4" t="n"/>
      <c r="E462" s="4" t="n"/>
      <c r="F462" s="6" t="n"/>
      <c r="G462" s="4" t="n"/>
      <c r="H462" s="4" t="n"/>
      <c r="I462" s="4" t="n"/>
      <c r="J462" s="4" t="n"/>
    </row>
    <row r="463">
      <c r="A463" s="5" t="n"/>
      <c r="B463" s="4" t="n"/>
      <c r="C463" s="8">
        <f>IF($B463="","",IFERROR(INDEX('Items'!$B$3:$B$202,MATCH($B463,'Items'!$A$3:$A$202,0)),""))</f>
        <v/>
      </c>
      <c r="D463" s="4" t="n"/>
      <c r="E463" s="4" t="n"/>
      <c r="F463" s="6" t="n"/>
      <c r="G463" s="4" t="n"/>
      <c r="H463" s="4" t="n"/>
      <c r="I463" s="4" t="n"/>
      <c r="J463" s="4" t="n"/>
    </row>
    <row r="464">
      <c r="A464" s="5" t="n"/>
      <c r="B464" s="4" t="n"/>
      <c r="C464" s="8">
        <f>IF($B464="","",IFERROR(INDEX('Items'!$B$3:$B$202,MATCH($B464,'Items'!$A$3:$A$202,0)),""))</f>
        <v/>
      </c>
      <c r="D464" s="4" t="n"/>
      <c r="E464" s="4" t="n"/>
      <c r="F464" s="6" t="n"/>
      <c r="G464" s="4" t="n"/>
      <c r="H464" s="4" t="n"/>
      <c r="I464" s="4" t="n"/>
      <c r="J464" s="4" t="n"/>
    </row>
    <row r="465">
      <c r="A465" s="5" t="n"/>
      <c r="B465" s="4" t="n"/>
      <c r="C465" s="8">
        <f>IF($B465="","",IFERROR(INDEX('Items'!$B$3:$B$202,MATCH($B465,'Items'!$A$3:$A$202,0)),""))</f>
        <v/>
      </c>
      <c r="D465" s="4" t="n"/>
      <c r="E465" s="4" t="n"/>
      <c r="F465" s="6" t="n"/>
      <c r="G465" s="4" t="n"/>
      <c r="H465" s="4" t="n"/>
      <c r="I465" s="4" t="n"/>
      <c r="J465" s="4" t="n"/>
    </row>
    <row r="466">
      <c r="A466" s="5" t="n"/>
      <c r="B466" s="4" t="n"/>
      <c r="C466" s="8">
        <f>IF($B466="","",IFERROR(INDEX('Items'!$B$3:$B$202,MATCH($B466,'Items'!$A$3:$A$202,0)),""))</f>
        <v/>
      </c>
      <c r="D466" s="4" t="n"/>
      <c r="E466" s="4" t="n"/>
      <c r="F466" s="6" t="n"/>
      <c r="G466" s="4" t="n"/>
      <c r="H466" s="4" t="n"/>
      <c r="I466" s="4" t="n"/>
      <c r="J466" s="4" t="n"/>
    </row>
    <row r="467">
      <c r="A467" s="5" t="n"/>
      <c r="B467" s="4" t="n"/>
      <c r="C467" s="8">
        <f>IF($B467="","",IFERROR(INDEX('Items'!$B$3:$B$202,MATCH($B467,'Items'!$A$3:$A$202,0)),""))</f>
        <v/>
      </c>
      <c r="D467" s="4" t="n"/>
      <c r="E467" s="4" t="n"/>
      <c r="F467" s="6" t="n"/>
      <c r="G467" s="4" t="n"/>
      <c r="H467" s="4" t="n"/>
      <c r="I467" s="4" t="n"/>
      <c r="J467" s="4" t="n"/>
    </row>
    <row r="468">
      <c r="A468" s="5" t="n"/>
      <c r="B468" s="4" t="n"/>
      <c r="C468" s="8">
        <f>IF($B468="","",IFERROR(INDEX('Items'!$B$3:$B$202,MATCH($B468,'Items'!$A$3:$A$202,0)),""))</f>
        <v/>
      </c>
      <c r="D468" s="4" t="n"/>
      <c r="E468" s="4" t="n"/>
      <c r="F468" s="6" t="n"/>
      <c r="G468" s="4" t="n"/>
      <c r="H468" s="4" t="n"/>
      <c r="I468" s="4" t="n"/>
      <c r="J468" s="4" t="n"/>
    </row>
    <row r="469">
      <c r="A469" s="5" t="n"/>
      <c r="B469" s="4" t="n"/>
      <c r="C469" s="8">
        <f>IF($B469="","",IFERROR(INDEX('Items'!$B$3:$B$202,MATCH($B469,'Items'!$A$3:$A$202,0)),""))</f>
        <v/>
      </c>
      <c r="D469" s="4" t="n"/>
      <c r="E469" s="4" t="n"/>
      <c r="F469" s="6" t="n"/>
      <c r="G469" s="4" t="n"/>
      <c r="H469" s="4" t="n"/>
      <c r="I469" s="4" t="n"/>
      <c r="J469" s="4" t="n"/>
    </row>
    <row r="470">
      <c r="A470" s="5" t="n"/>
      <c r="B470" s="4" t="n"/>
      <c r="C470" s="8">
        <f>IF($B470="","",IFERROR(INDEX('Items'!$B$3:$B$202,MATCH($B470,'Items'!$A$3:$A$202,0)),""))</f>
        <v/>
      </c>
      <c r="D470" s="4" t="n"/>
      <c r="E470" s="4" t="n"/>
      <c r="F470" s="6" t="n"/>
      <c r="G470" s="4" t="n"/>
      <c r="H470" s="4" t="n"/>
      <c r="I470" s="4" t="n"/>
      <c r="J470" s="4" t="n"/>
    </row>
    <row r="471">
      <c r="A471" s="5" t="n"/>
      <c r="B471" s="4" t="n"/>
      <c r="C471" s="8">
        <f>IF($B471="","",IFERROR(INDEX('Items'!$B$3:$B$202,MATCH($B471,'Items'!$A$3:$A$202,0)),""))</f>
        <v/>
      </c>
      <c r="D471" s="4" t="n"/>
      <c r="E471" s="4" t="n"/>
      <c r="F471" s="6" t="n"/>
      <c r="G471" s="4" t="n"/>
      <c r="H471" s="4" t="n"/>
      <c r="I471" s="4" t="n"/>
      <c r="J471" s="4" t="n"/>
    </row>
    <row r="472">
      <c r="A472" s="5" t="n"/>
      <c r="B472" s="4" t="n"/>
      <c r="C472" s="8">
        <f>IF($B472="","",IFERROR(INDEX('Items'!$B$3:$B$202,MATCH($B472,'Items'!$A$3:$A$202,0)),""))</f>
        <v/>
      </c>
      <c r="D472" s="4" t="n"/>
      <c r="E472" s="4" t="n"/>
      <c r="F472" s="6" t="n"/>
      <c r="G472" s="4" t="n"/>
      <c r="H472" s="4" t="n"/>
      <c r="I472" s="4" t="n"/>
      <c r="J472" s="4" t="n"/>
    </row>
    <row r="473">
      <c r="A473" s="5" t="n"/>
      <c r="B473" s="4" t="n"/>
      <c r="C473" s="8">
        <f>IF($B473="","",IFERROR(INDEX('Items'!$B$3:$B$202,MATCH($B473,'Items'!$A$3:$A$202,0)),""))</f>
        <v/>
      </c>
      <c r="D473" s="4" t="n"/>
      <c r="E473" s="4" t="n"/>
      <c r="F473" s="6" t="n"/>
      <c r="G473" s="4" t="n"/>
      <c r="H473" s="4" t="n"/>
      <c r="I473" s="4" t="n"/>
      <c r="J473" s="4" t="n"/>
    </row>
    <row r="474">
      <c r="A474" s="5" t="n"/>
      <c r="B474" s="4" t="n"/>
      <c r="C474" s="8">
        <f>IF($B474="","",IFERROR(INDEX('Items'!$B$3:$B$202,MATCH($B474,'Items'!$A$3:$A$202,0)),""))</f>
        <v/>
      </c>
      <c r="D474" s="4" t="n"/>
      <c r="E474" s="4" t="n"/>
      <c r="F474" s="6" t="n"/>
      <c r="G474" s="4" t="n"/>
      <c r="H474" s="4" t="n"/>
      <c r="I474" s="4" t="n"/>
      <c r="J474" s="4" t="n"/>
    </row>
    <row r="475">
      <c r="A475" s="5" t="n"/>
      <c r="B475" s="4" t="n"/>
      <c r="C475" s="8">
        <f>IF($B475="","",IFERROR(INDEX('Items'!$B$3:$B$202,MATCH($B475,'Items'!$A$3:$A$202,0)),""))</f>
        <v/>
      </c>
      <c r="D475" s="4" t="n"/>
      <c r="E475" s="4" t="n"/>
      <c r="F475" s="6" t="n"/>
      <c r="G475" s="4" t="n"/>
      <c r="H475" s="4" t="n"/>
      <c r="I475" s="4" t="n"/>
      <c r="J475" s="4" t="n"/>
    </row>
    <row r="476">
      <c r="A476" s="5" t="n"/>
      <c r="B476" s="4" t="n"/>
      <c r="C476" s="8">
        <f>IF($B476="","",IFERROR(INDEX('Items'!$B$3:$B$202,MATCH($B476,'Items'!$A$3:$A$202,0)),""))</f>
        <v/>
      </c>
      <c r="D476" s="4" t="n"/>
      <c r="E476" s="4" t="n"/>
      <c r="F476" s="6" t="n"/>
      <c r="G476" s="4" t="n"/>
      <c r="H476" s="4" t="n"/>
      <c r="I476" s="4" t="n"/>
      <c r="J476" s="4" t="n"/>
    </row>
    <row r="477">
      <c r="A477" s="5" t="n"/>
      <c r="B477" s="4" t="n"/>
      <c r="C477" s="8">
        <f>IF($B477="","",IFERROR(INDEX('Items'!$B$3:$B$202,MATCH($B477,'Items'!$A$3:$A$202,0)),""))</f>
        <v/>
      </c>
      <c r="D477" s="4" t="n"/>
      <c r="E477" s="4" t="n"/>
      <c r="F477" s="6" t="n"/>
      <c r="G477" s="4" t="n"/>
      <c r="H477" s="4" t="n"/>
      <c r="I477" s="4" t="n"/>
      <c r="J477" s="4" t="n"/>
    </row>
    <row r="478">
      <c r="A478" s="5" t="n"/>
      <c r="B478" s="4" t="n"/>
      <c r="C478" s="8">
        <f>IF($B478="","",IFERROR(INDEX('Items'!$B$3:$B$202,MATCH($B478,'Items'!$A$3:$A$202,0)),""))</f>
        <v/>
      </c>
      <c r="D478" s="4" t="n"/>
      <c r="E478" s="4" t="n"/>
      <c r="F478" s="6" t="n"/>
      <c r="G478" s="4" t="n"/>
      <c r="H478" s="4" t="n"/>
      <c r="I478" s="4" t="n"/>
      <c r="J478" s="4" t="n"/>
    </row>
    <row r="479">
      <c r="A479" s="5" t="n"/>
      <c r="B479" s="4" t="n"/>
      <c r="C479" s="8">
        <f>IF($B479="","",IFERROR(INDEX('Items'!$B$3:$B$202,MATCH($B479,'Items'!$A$3:$A$202,0)),""))</f>
        <v/>
      </c>
      <c r="D479" s="4" t="n"/>
      <c r="E479" s="4" t="n"/>
      <c r="F479" s="6" t="n"/>
      <c r="G479" s="4" t="n"/>
      <c r="H479" s="4" t="n"/>
      <c r="I479" s="4" t="n"/>
      <c r="J479" s="4" t="n"/>
    </row>
    <row r="480">
      <c r="A480" s="5" t="n"/>
      <c r="B480" s="4" t="n"/>
      <c r="C480" s="8">
        <f>IF($B480="","",IFERROR(INDEX('Items'!$B$3:$B$202,MATCH($B480,'Items'!$A$3:$A$202,0)),""))</f>
        <v/>
      </c>
      <c r="D480" s="4" t="n"/>
      <c r="E480" s="4" t="n"/>
      <c r="F480" s="6" t="n"/>
      <c r="G480" s="4" t="n"/>
      <c r="H480" s="4" t="n"/>
      <c r="I480" s="4" t="n"/>
      <c r="J480" s="4" t="n"/>
    </row>
    <row r="481">
      <c r="A481" s="5" t="n"/>
      <c r="B481" s="4" t="n"/>
      <c r="C481" s="8">
        <f>IF($B481="","",IFERROR(INDEX('Items'!$B$3:$B$202,MATCH($B481,'Items'!$A$3:$A$202,0)),""))</f>
        <v/>
      </c>
      <c r="D481" s="4" t="n"/>
      <c r="E481" s="4" t="n"/>
      <c r="F481" s="6" t="n"/>
      <c r="G481" s="4" t="n"/>
      <c r="H481" s="4" t="n"/>
      <c r="I481" s="4" t="n"/>
      <c r="J481" s="4" t="n"/>
    </row>
    <row r="482">
      <c r="A482" s="5" t="n"/>
      <c r="B482" s="4" t="n"/>
      <c r="C482" s="8">
        <f>IF($B482="","",IFERROR(INDEX('Items'!$B$3:$B$202,MATCH($B482,'Items'!$A$3:$A$202,0)),""))</f>
        <v/>
      </c>
      <c r="D482" s="4" t="n"/>
      <c r="E482" s="4" t="n"/>
      <c r="F482" s="6" t="n"/>
      <c r="G482" s="4" t="n"/>
      <c r="H482" s="4" t="n"/>
      <c r="I482" s="4" t="n"/>
      <c r="J482" s="4" t="n"/>
    </row>
    <row r="483">
      <c r="A483" s="5" t="n"/>
      <c r="B483" s="4" t="n"/>
      <c r="C483" s="8">
        <f>IF($B483="","",IFERROR(INDEX('Items'!$B$3:$B$202,MATCH($B483,'Items'!$A$3:$A$202,0)),""))</f>
        <v/>
      </c>
      <c r="D483" s="4" t="n"/>
      <c r="E483" s="4" t="n"/>
      <c r="F483" s="6" t="n"/>
      <c r="G483" s="4" t="n"/>
      <c r="H483" s="4" t="n"/>
      <c r="I483" s="4" t="n"/>
      <c r="J483" s="4" t="n"/>
    </row>
    <row r="484">
      <c r="A484" s="5" t="n"/>
      <c r="B484" s="4" t="n"/>
      <c r="C484" s="8">
        <f>IF($B484="","",IFERROR(INDEX('Items'!$B$3:$B$202,MATCH($B484,'Items'!$A$3:$A$202,0)),""))</f>
        <v/>
      </c>
      <c r="D484" s="4" t="n"/>
      <c r="E484" s="4" t="n"/>
      <c r="F484" s="6" t="n"/>
      <c r="G484" s="4" t="n"/>
      <c r="H484" s="4" t="n"/>
      <c r="I484" s="4" t="n"/>
      <c r="J484" s="4" t="n"/>
    </row>
    <row r="485">
      <c r="A485" s="5" t="n"/>
      <c r="B485" s="4" t="n"/>
      <c r="C485" s="8">
        <f>IF($B485="","",IFERROR(INDEX('Items'!$B$3:$B$202,MATCH($B485,'Items'!$A$3:$A$202,0)),""))</f>
        <v/>
      </c>
      <c r="D485" s="4" t="n"/>
      <c r="E485" s="4" t="n"/>
      <c r="F485" s="6" t="n"/>
      <c r="G485" s="4" t="n"/>
      <c r="H485" s="4" t="n"/>
      <c r="I485" s="4" t="n"/>
      <c r="J485" s="4" t="n"/>
    </row>
    <row r="486">
      <c r="A486" s="5" t="n"/>
      <c r="B486" s="4" t="n"/>
      <c r="C486" s="8">
        <f>IF($B486="","",IFERROR(INDEX('Items'!$B$3:$B$202,MATCH($B486,'Items'!$A$3:$A$202,0)),""))</f>
        <v/>
      </c>
      <c r="D486" s="4" t="n"/>
      <c r="E486" s="4" t="n"/>
      <c r="F486" s="6" t="n"/>
      <c r="G486" s="4" t="n"/>
      <c r="H486" s="4" t="n"/>
      <c r="I486" s="4" t="n"/>
      <c r="J486" s="4" t="n"/>
    </row>
    <row r="487">
      <c r="A487" s="5" t="n"/>
      <c r="B487" s="4" t="n"/>
      <c r="C487" s="8">
        <f>IF($B487="","",IFERROR(INDEX('Items'!$B$3:$B$202,MATCH($B487,'Items'!$A$3:$A$202,0)),""))</f>
        <v/>
      </c>
      <c r="D487" s="4" t="n"/>
      <c r="E487" s="4" t="n"/>
      <c r="F487" s="6" t="n"/>
      <c r="G487" s="4" t="n"/>
      <c r="H487" s="4" t="n"/>
      <c r="I487" s="4" t="n"/>
      <c r="J487" s="4" t="n"/>
    </row>
    <row r="488">
      <c r="A488" s="5" t="n"/>
      <c r="B488" s="4" t="n"/>
      <c r="C488" s="8">
        <f>IF($B488="","",IFERROR(INDEX('Items'!$B$3:$B$202,MATCH($B488,'Items'!$A$3:$A$202,0)),""))</f>
        <v/>
      </c>
      <c r="D488" s="4" t="n"/>
      <c r="E488" s="4" t="n"/>
      <c r="F488" s="6" t="n"/>
      <c r="G488" s="4" t="n"/>
      <c r="H488" s="4" t="n"/>
      <c r="I488" s="4" t="n"/>
      <c r="J488" s="4" t="n"/>
    </row>
    <row r="489">
      <c r="A489" s="5" t="n"/>
      <c r="B489" s="4" t="n"/>
      <c r="C489" s="8">
        <f>IF($B489="","",IFERROR(INDEX('Items'!$B$3:$B$202,MATCH($B489,'Items'!$A$3:$A$202,0)),""))</f>
        <v/>
      </c>
      <c r="D489" s="4" t="n"/>
      <c r="E489" s="4" t="n"/>
      <c r="F489" s="6" t="n"/>
      <c r="G489" s="4" t="n"/>
      <c r="H489" s="4" t="n"/>
      <c r="I489" s="4" t="n"/>
      <c r="J489" s="4" t="n"/>
    </row>
    <row r="490">
      <c r="A490" s="5" t="n"/>
      <c r="B490" s="4" t="n"/>
      <c r="C490" s="8">
        <f>IF($B490="","",IFERROR(INDEX('Items'!$B$3:$B$202,MATCH($B490,'Items'!$A$3:$A$202,0)),""))</f>
        <v/>
      </c>
      <c r="D490" s="4" t="n"/>
      <c r="E490" s="4" t="n"/>
      <c r="F490" s="6" t="n"/>
      <c r="G490" s="4" t="n"/>
      <c r="H490" s="4" t="n"/>
      <c r="I490" s="4" t="n"/>
      <c r="J490" s="4" t="n"/>
    </row>
    <row r="491">
      <c r="A491" s="5" t="n"/>
      <c r="B491" s="4" t="n"/>
      <c r="C491" s="8">
        <f>IF($B491="","",IFERROR(INDEX('Items'!$B$3:$B$202,MATCH($B491,'Items'!$A$3:$A$202,0)),""))</f>
        <v/>
      </c>
      <c r="D491" s="4" t="n"/>
      <c r="E491" s="4" t="n"/>
      <c r="F491" s="6" t="n"/>
      <c r="G491" s="4" t="n"/>
      <c r="H491" s="4" t="n"/>
      <c r="I491" s="4" t="n"/>
      <c r="J491" s="4" t="n"/>
    </row>
    <row r="492">
      <c r="A492" s="5" t="n"/>
      <c r="B492" s="4" t="n"/>
      <c r="C492" s="8">
        <f>IF($B492="","",IFERROR(INDEX('Items'!$B$3:$B$202,MATCH($B492,'Items'!$A$3:$A$202,0)),""))</f>
        <v/>
      </c>
      <c r="D492" s="4" t="n"/>
      <c r="E492" s="4" t="n"/>
      <c r="F492" s="6" t="n"/>
      <c r="G492" s="4" t="n"/>
      <c r="H492" s="4" t="n"/>
      <c r="I492" s="4" t="n"/>
      <c r="J492" s="4" t="n"/>
    </row>
    <row r="493">
      <c r="A493" s="5" t="n"/>
      <c r="B493" s="4" t="n"/>
      <c r="C493" s="8">
        <f>IF($B493="","",IFERROR(INDEX('Items'!$B$3:$B$202,MATCH($B493,'Items'!$A$3:$A$202,0)),""))</f>
        <v/>
      </c>
      <c r="D493" s="4" t="n"/>
      <c r="E493" s="4" t="n"/>
      <c r="F493" s="6" t="n"/>
      <c r="G493" s="4" t="n"/>
      <c r="H493" s="4" t="n"/>
      <c r="I493" s="4" t="n"/>
      <c r="J493" s="4" t="n"/>
    </row>
    <row r="494">
      <c r="A494" s="5" t="n"/>
      <c r="B494" s="4" t="n"/>
      <c r="C494" s="8">
        <f>IF($B494="","",IFERROR(INDEX('Items'!$B$3:$B$202,MATCH($B494,'Items'!$A$3:$A$202,0)),""))</f>
        <v/>
      </c>
      <c r="D494" s="4" t="n"/>
      <c r="E494" s="4" t="n"/>
      <c r="F494" s="6" t="n"/>
      <c r="G494" s="4" t="n"/>
      <c r="H494" s="4" t="n"/>
      <c r="I494" s="4" t="n"/>
      <c r="J494" s="4" t="n"/>
    </row>
    <row r="495">
      <c r="A495" s="5" t="n"/>
      <c r="B495" s="4" t="n"/>
      <c r="C495" s="8">
        <f>IF($B495="","",IFERROR(INDEX('Items'!$B$3:$B$202,MATCH($B495,'Items'!$A$3:$A$202,0)),""))</f>
        <v/>
      </c>
      <c r="D495" s="4" t="n"/>
      <c r="E495" s="4" t="n"/>
      <c r="F495" s="6" t="n"/>
      <c r="G495" s="4" t="n"/>
      <c r="H495" s="4" t="n"/>
      <c r="I495" s="4" t="n"/>
      <c r="J495" s="4" t="n"/>
    </row>
    <row r="496">
      <c r="A496" s="5" t="n"/>
      <c r="B496" s="4" t="n"/>
      <c r="C496" s="8">
        <f>IF($B496="","",IFERROR(INDEX('Items'!$B$3:$B$202,MATCH($B496,'Items'!$A$3:$A$202,0)),""))</f>
        <v/>
      </c>
      <c r="D496" s="4" t="n"/>
      <c r="E496" s="4" t="n"/>
      <c r="F496" s="6" t="n"/>
      <c r="G496" s="4" t="n"/>
      <c r="H496" s="4" t="n"/>
      <c r="I496" s="4" t="n"/>
      <c r="J496" s="4" t="n"/>
    </row>
    <row r="497">
      <c r="A497" s="5" t="n"/>
      <c r="B497" s="4" t="n"/>
      <c r="C497" s="8">
        <f>IF($B497="","",IFERROR(INDEX('Items'!$B$3:$B$202,MATCH($B497,'Items'!$A$3:$A$202,0)),""))</f>
        <v/>
      </c>
      <c r="D497" s="4" t="n"/>
      <c r="E497" s="4" t="n"/>
      <c r="F497" s="6" t="n"/>
      <c r="G497" s="4" t="n"/>
      <c r="H497" s="4" t="n"/>
      <c r="I497" s="4" t="n"/>
      <c r="J497" s="4" t="n"/>
    </row>
    <row r="498">
      <c r="A498" s="5" t="n"/>
      <c r="B498" s="4" t="n"/>
      <c r="C498" s="8">
        <f>IF($B498="","",IFERROR(INDEX('Items'!$B$3:$B$202,MATCH($B498,'Items'!$A$3:$A$202,0)),""))</f>
        <v/>
      </c>
      <c r="D498" s="4" t="n"/>
      <c r="E498" s="4" t="n"/>
      <c r="F498" s="6" t="n"/>
      <c r="G498" s="4" t="n"/>
      <c r="H498" s="4" t="n"/>
      <c r="I498" s="4" t="n"/>
      <c r="J498" s="4" t="n"/>
    </row>
    <row r="499">
      <c r="A499" s="5" t="n"/>
      <c r="B499" s="4" t="n"/>
      <c r="C499" s="8">
        <f>IF($B499="","",IFERROR(INDEX('Items'!$B$3:$B$202,MATCH($B499,'Items'!$A$3:$A$202,0)),""))</f>
        <v/>
      </c>
      <c r="D499" s="4" t="n"/>
      <c r="E499" s="4" t="n"/>
      <c r="F499" s="6" t="n"/>
      <c r="G499" s="4" t="n"/>
      <c r="H499" s="4" t="n"/>
      <c r="I499" s="4" t="n"/>
      <c r="J499" s="4" t="n"/>
    </row>
    <row r="500">
      <c r="A500" s="5" t="n"/>
      <c r="B500" s="4" t="n"/>
      <c r="C500" s="8">
        <f>IF($B500="","",IFERROR(INDEX('Items'!$B$3:$B$202,MATCH($B500,'Items'!$A$3:$A$202,0)),""))</f>
        <v/>
      </c>
      <c r="D500" s="4" t="n"/>
      <c r="E500" s="4" t="n"/>
      <c r="F500" s="6" t="n"/>
      <c r="G500" s="4" t="n"/>
      <c r="H500" s="4" t="n"/>
      <c r="I500" s="4" t="n"/>
      <c r="J500" s="4" t="n"/>
    </row>
    <row r="501">
      <c r="A501" s="5" t="n"/>
      <c r="B501" s="4" t="n"/>
      <c r="C501" s="8">
        <f>IF($B501="","",IFERROR(INDEX('Items'!$B$3:$B$202,MATCH($B501,'Items'!$A$3:$A$202,0)),""))</f>
        <v/>
      </c>
      <c r="D501" s="4" t="n"/>
      <c r="E501" s="4" t="n"/>
      <c r="F501" s="6" t="n"/>
      <c r="G501" s="4" t="n"/>
      <c r="H501" s="4" t="n"/>
      <c r="I501" s="4" t="n"/>
      <c r="J501" s="4" t="n"/>
    </row>
    <row r="502">
      <c r="A502" s="5" t="n"/>
      <c r="B502" s="4" t="n"/>
      <c r="C502" s="8">
        <f>IF($B502="","",IFERROR(INDEX('Items'!$B$3:$B$202,MATCH($B502,'Items'!$A$3:$A$202,0)),""))</f>
        <v/>
      </c>
      <c r="D502" s="4" t="n"/>
      <c r="E502" s="4" t="n"/>
      <c r="F502" s="6" t="n"/>
      <c r="G502" s="4" t="n"/>
      <c r="H502" s="4" t="n"/>
      <c r="I502" s="4" t="n"/>
      <c r="J502" s="4" t="n"/>
    </row>
    <row r="503">
      <c r="A503" s="5" t="n"/>
      <c r="B503" s="4" t="n"/>
      <c r="C503" s="8">
        <f>IF($B503="","",IFERROR(INDEX('Items'!$B$3:$B$202,MATCH($B503,'Items'!$A$3:$A$202,0)),""))</f>
        <v/>
      </c>
      <c r="D503" s="4" t="n"/>
      <c r="E503" s="4" t="n"/>
      <c r="F503" s="6" t="n"/>
      <c r="G503" s="4" t="n"/>
      <c r="H503" s="4" t="n"/>
      <c r="I503" s="4" t="n"/>
      <c r="J503" s="4" t="n"/>
    </row>
    <row r="504">
      <c r="A504" s="5" t="n"/>
      <c r="B504" s="4" t="n"/>
      <c r="C504" s="8">
        <f>IF($B504="","",IFERROR(INDEX('Items'!$B$3:$B$202,MATCH($B504,'Items'!$A$3:$A$202,0)),""))</f>
        <v/>
      </c>
      <c r="D504" s="4" t="n"/>
      <c r="E504" s="4" t="n"/>
      <c r="F504" s="6" t="n"/>
      <c r="G504" s="4" t="n"/>
      <c r="H504" s="4" t="n"/>
      <c r="I504" s="4" t="n"/>
      <c r="J504" s="4" t="n"/>
    </row>
    <row r="505">
      <c r="A505" s="5" t="n"/>
      <c r="B505" s="4" t="n"/>
      <c r="C505" s="8">
        <f>IF($B505="","",IFERROR(INDEX('Items'!$B$3:$B$202,MATCH($B505,'Items'!$A$3:$A$202,0)),""))</f>
        <v/>
      </c>
      <c r="D505" s="4" t="n"/>
      <c r="E505" s="4" t="n"/>
      <c r="F505" s="6" t="n"/>
      <c r="G505" s="4" t="n"/>
      <c r="H505" s="4" t="n"/>
      <c r="I505" s="4" t="n"/>
      <c r="J505" s="4" t="n"/>
    </row>
    <row r="506">
      <c r="A506" s="5" t="n"/>
      <c r="B506" s="4" t="n"/>
      <c r="C506" s="8">
        <f>IF($B506="","",IFERROR(INDEX('Items'!$B$3:$B$202,MATCH($B506,'Items'!$A$3:$A$202,0)),""))</f>
        <v/>
      </c>
      <c r="D506" s="4" t="n"/>
      <c r="E506" s="4" t="n"/>
      <c r="F506" s="6" t="n"/>
      <c r="G506" s="4" t="n"/>
      <c r="H506" s="4" t="n"/>
      <c r="I506" s="4" t="n"/>
      <c r="J506" s="4" t="n"/>
    </row>
    <row r="507">
      <c r="A507" s="5" t="n"/>
      <c r="B507" s="4" t="n"/>
      <c r="C507" s="8">
        <f>IF($B507="","",IFERROR(INDEX('Items'!$B$3:$B$202,MATCH($B507,'Items'!$A$3:$A$202,0)),""))</f>
        <v/>
      </c>
      <c r="D507" s="4" t="n"/>
      <c r="E507" s="4" t="n"/>
      <c r="F507" s="6" t="n"/>
      <c r="G507" s="4" t="n"/>
      <c r="H507" s="4" t="n"/>
      <c r="I507" s="4" t="n"/>
      <c r="J507" s="4" t="n"/>
    </row>
    <row r="508">
      <c r="A508" s="5" t="n"/>
      <c r="B508" s="4" t="n"/>
      <c r="C508" s="8">
        <f>IF($B508="","",IFERROR(INDEX('Items'!$B$3:$B$202,MATCH($B508,'Items'!$A$3:$A$202,0)),""))</f>
        <v/>
      </c>
      <c r="D508" s="4" t="n"/>
      <c r="E508" s="4" t="n"/>
      <c r="F508" s="6" t="n"/>
      <c r="G508" s="4" t="n"/>
      <c r="H508" s="4" t="n"/>
      <c r="I508" s="4" t="n"/>
      <c r="J508" s="4" t="n"/>
    </row>
    <row r="509">
      <c r="A509" s="5" t="n"/>
      <c r="B509" s="4" t="n"/>
      <c r="C509" s="8">
        <f>IF($B509="","",IFERROR(INDEX('Items'!$B$3:$B$202,MATCH($B509,'Items'!$A$3:$A$202,0)),""))</f>
        <v/>
      </c>
      <c r="D509" s="4" t="n"/>
      <c r="E509" s="4" t="n"/>
      <c r="F509" s="6" t="n"/>
      <c r="G509" s="4" t="n"/>
      <c r="H509" s="4" t="n"/>
      <c r="I509" s="4" t="n"/>
      <c r="J509" s="4" t="n"/>
    </row>
    <row r="510">
      <c r="A510" s="5" t="n"/>
      <c r="B510" s="4" t="n"/>
      <c r="C510" s="8">
        <f>IF($B510="","",IFERROR(INDEX('Items'!$B$3:$B$202,MATCH($B510,'Items'!$A$3:$A$202,0)),""))</f>
        <v/>
      </c>
      <c r="D510" s="4" t="n"/>
      <c r="E510" s="4" t="n"/>
      <c r="F510" s="6" t="n"/>
      <c r="G510" s="4" t="n"/>
      <c r="H510" s="4" t="n"/>
      <c r="I510" s="4" t="n"/>
      <c r="J510" s="4" t="n"/>
    </row>
    <row r="511">
      <c r="A511" s="5" t="n"/>
      <c r="B511" s="4" t="n"/>
      <c r="C511" s="8">
        <f>IF($B511="","",IFERROR(INDEX('Items'!$B$3:$B$202,MATCH($B511,'Items'!$A$3:$A$202,0)),""))</f>
        <v/>
      </c>
      <c r="D511" s="4" t="n"/>
      <c r="E511" s="4" t="n"/>
      <c r="F511" s="6" t="n"/>
      <c r="G511" s="4" t="n"/>
      <c r="H511" s="4" t="n"/>
      <c r="I511" s="4" t="n"/>
      <c r="J511" s="4" t="n"/>
    </row>
    <row r="512">
      <c r="A512" s="5" t="n"/>
      <c r="B512" s="4" t="n"/>
      <c r="C512" s="8">
        <f>IF($B512="","",IFERROR(INDEX('Items'!$B$3:$B$202,MATCH($B512,'Items'!$A$3:$A$202,0)),""))</f>
        <v/>
      </c>
      <c r="D512" s="4" t="n"/>
      <c r="E512" s="4" t="n"/>
      <c r="F512" s="6" t="n"/>
      <c r="G512" s="4" t="n"/>
      <c r="H512" s="4" t="n"/>
      <c r="I512" s="4" t="n"/>
      <c r="J512" s="4" t="n"/>
    </row>
    <row r="513">
      <c r="A513" s="5" t="n"/>
      <c r="B513" s="4" t="n"/>
      <c r="C513" s="8">
        <f>IF($B513="","",IFERROR(INDEX('Items'!$B$3:$B$202,MATCH($B513,'Items'!$A$3:$A$202,0)),""))</f>
        <v/>
      </c>
      <c r="D513" s="4" t="n"/>
      <c r="E513" s="4" t="n"/>
      <c r="F513" s="6" t="n"/>
      <c r="G513" s="4" t="n"/>
      <c r="H513" s="4" t="n"/>
      <c r="I513" s="4" t="n"/>
      <c r="J513" s="4" t="n"/>
    </row>
    <row r="514">
      <c r="A514" s="5" t="n"/>
      <c r="B514" s="4" t="n"/>
      <c r="C514" s="8">
        <f>IF($B514="","",IFERROR(INDEX('Items'!$B$3:$B$202,MATCH($B514,'Items'!$A$3:$A$202,0)),""))</f>
        <v/>
      </c>
      <c r="D514" s="4" t="n"/>
      <c r="E514" s="4" t="n"/>
      <c r="F514" s="6" t="n"/>
      <c r="G514" s="4" t="n"/>
      <c r="H514" s="4" t="n"/>
      <c r="I514" s="4" t="n"/>
      <c r="J514" s="4" t="n"/>
    </row>
    <row r="515">
      <c r="A515" s="5" t="n"/>
      <c r="B515" s="4" t="n"/>
      <c r="C515" s="8">
        <f>IF($B515="","",IFERROR(INDEX('Items'!$B$3:$B$202,MATCH($B515,'Items'!$A$3:$A$202,0)),""))</f>
        <v/>
      </c>
      <c r="D515" s="4" t="n"/>
      <c r="E515" s="4" t="n"/>
      <c r="F515" s="6" t="n"/>
      <c r="G515" s="4" t="n"/>
      <c r="H515" s="4" t="n"/>
      <c r="I515" s="4" t="n"/>
      <c r="J515" s="4" t="n"/>
    </row>
    <row r="516">
      <c r="A516" s="5" t="n"/>
      <c r="B516" s="4" t="n"/>
      <c r="C516" s="8">
        <f>IF($B516="","",IFERROR(INDEX('Items'!$B$3:$B$202,MATCH($B516,'Items'!$A$3:$A$202,0)),""))</f>
        <v/>
      </c>
      <c r="D516" s="4" t="n"/>
      <c r="E516" s="4" t="n"/>
      <c r="F516" s="6" t="n"/>
      <c r="G516" s="4" t="n"/>
      <c r="H516" s="4" t="n"/>
      <c r="I516" s="4" t="n"/>
      <c r="J516" s="4" t="n"/>
    </row>
    <row r="517">
      <c r="A517" s="5" t="n"/>
      <c r="B517" s="4" t="n"/>
      <c r="C517" s="8">
        <f>IF($B517="","",IFERROR(INDEX('Items'!$B$3:$B$202,MATCH($B517,'Items'!$A$3:$A$202,0)),""))</f>
        <v/>
      </c>
      <c r="D517" s="4" t="n"/>
      <c r="E517" s="4" t="n"/>
      <c r="F517" s="6" t="n"/>
      <c r="G517" s="4" t="n"/>
      <c r="H517" s="4" t="n"/>
      <c r="I517" s="4" t="n"/>
      <c r="J517" s="4" t="n"/>
    </row>
    <row r="518">
      <c r="A518" s="5" t="n"/>
      <c r="B518" s="4" t="n"/>
      <c r="C518" s="8">
        <f>IF($B518="","",IFERROR(INDEX('Items'!$B$3:$B$202,MATCH($B518,'Items'!$A$3:$A$202,0)),""))</f>
        <v/>
      </c>
      <c r="D518" s="4" t="n"/>
      <c r="E518" s="4" t="n"/>
      <c r="F518" s="6" t="n"/>
      <c r="G518" s="4" t="n"/>
      <c r="H518" s="4" t="n"/>
      <c r="I518" s="4" t="n"/>
      <c r="J518" s="4" t="n"/>
    </row>
    <row r="519">
      <c r="A519" s="5" t="n"/>
      <c r="B519" s="4" t="n"/>
      <c r="C519" s="8">
        <f>IF($B519="","",IFERROR(INDEX('Items'!$B$3:$B$202,MATCH($B519,'Items'!$A$3:$A$202,0)),""))</f>
        <v/>
      </c>
      <c r="D519" s="4" t="n"/>
      <c r="E519" s="4" t="n"/>
      <c r="F519" s="6" t="n"/>
      <c r="G519" s="4" t="n"/>
      <c r="H519" s="4" t="n"/>
      <c r="I519" s="4" t="n"/>
      <c r="J519" s="4" t="n"/>
    </row>
    <row r="520">
      <c r="A520" s="5" t="n"/>
      <c r="B520" s="4" t="n"/>
      <c r="C520" s="8">
        <f>IF($B520="","",IFERROR(INDEX('Items'!$B$3:$B$202,MATCH($B520,'Items'!$A$3:$A$202,0)),""))</f>
        <v/>
      </c>
      <c r="D520" s="4" t="n"/>
      <c r="E520" s="4" t="n"/>
      <c r="F520" s="6" t="n"/>
      <c r="G520" s="4" t="n"/>
      <c r="H520" s="4" t="n"/>
      <c r="I520" s="4" t="n"/>
      <c r="J520" s="4" t="n"/>
    </row>
    <row r="521">
      <c r="A521" s="5" t="n"/>
      <c r="B521" s="4" t="n"/>
      <c r="C521" s="8">
        <f>IF($B521="","",IFERROR(INDEX('Items'!$B$3:$B$202,MATCH($B521,'Items'!$A$3:$A$202,0)),""))</f>
        <v/>
      </c>
      <c r="D521" s="4" t="n"/>
      <c r="E521" s="4" t="n"/>
      <c r="F521" s="6" t="n"/>
      <c r="G521" s="4" t="n"/>
      <c r="H521" s="4" t="n"/>
      <c r="I521" s="4" t="n"/>
      <c r="J521" s="4" t="n"/>
    </row>
    <row r="522">
      <c r="A522" s="5" t="n"/>
      <c r="B522" s="4" t="n"/>
      <c r="C522" s="8">
        <f>IF($B522="","",IFERROR(INDEX('Items'!$B$3:$B$202,MATCH($B522,'Items'!$A$3:$A$202,0)),""))</f>
        <v/>
      </c>
      <c r="D522" s="4" t="n"/>
      <c r="E522" s="4" t="n"/>
      <c r="F522" s="6" t="n"/>
      <c r="G522" s="4" t="n"/>
      <c r="H522" s="4" t="n"/>
      <c r="I522" s="4" t="n"/>
      <c r="J522" s="4" t="n"/>
    </row>
    <row r="523">
      <c r="A523" s="5" t="n"/>
      <c r="B523" s="4" t="n"/>
      <c r="C523" s="8">
        <f>IF($B523="","",IFERROR(INDEX('Items'!$B$3:$B$202,MATCH($B523,'Items'!$A$3:$A$202,0)),""))</f>
        <v/>
      </c>
      <c r="D523" s="4" t="n"/>
      <c r="E523" s="4" t="n"/>
      <c r="F523" s="6" t="n"/>
      <c r="G523" s="4" t="n"/>
      <c r="H523" s="4" t="n"/>
      <c r="I523" s="4" t="n"/>
      <c r="J523" s="4" t="n"/>
    </row>
    <row r="524">
      <c r="A524" s="5" t="n"/>
      <c r="B524" s="4" t="n"/>
      <c r="C524" s="8">
        <f>IF($B524="","",IFERROR(INDEX('Items'!$B$3:$B$202,MATCH($B524,'Items'!$A$3:$A$202,0)),""))</f>
        <v/>
      </c>
      <c r="D524" s="4" t="n"/>
      <c r="E524" s="4" t="n"/>
      <c r="F524" s="6" t="n"/>
      <c r="G524" s="4" t="n"/>
      <c r="H524" s="4" t="n"/>
      <c r="I524" s="4" t="n"/>
      <c r="J524" s="4" t="n"/>
    </row>
    <row r="525">
      <c r="A525" s="5" t="n"/>
      <c r="B525" s="4" t="n"/>
      <c r="C525" s="8">
        <f>IF($B525="","",IFERROR(INDEX('Items'!$B$3:$B$202,MATCH($B525,'Items'!$A$3:$A$202,0)),""))</f>
        <v/>
      </c>
      <c r="D525" s="4" t="n"/>
      <c r="E525" s="4" t="n"/>
      <c r="F525" s="6" t="n"/>
      <c r="G525" s="4" t="n"/>
      <c r="H525" s="4" t="n"/>
      <c r="I525" s="4" t="n"/>
      <c r="J525" s="4" t="n"/>
    </row>
    <row r="526">
      <c r="A526" s="5" t="n"/>
      <c r="B526" s="4" t="n"/>
      <c r="C526" s="8">
        <f>IF($B526="","",IFERROR(INDEX('Items'!$B$3:$B$202,MATCH($B526,'Items'!$A$3:$A$202,0)),""))</f>
        <v/>
      </c>
      <c r="D526" s="4" t="n"/>
      <c r="E526" s="4" t="n"/>
      <c r="F526" s="6" t="n"/>
      <c r="G526" s="4" t="n"/>
      <c r="H526" s="4" t="n"/>
      <c r="I526" s="4" t="n"/>
      <c r="J526" s="4" t="n"/>
    </row>
    <row r="527">
      <c r="A527" s="5" t="n"/>
      <c r="B527" s="4" t="n"/>
      <c r="C527" s="8">
        <f>IF($B527="","",IFERROR(INDEX('Items'!$B$3:$B$202,MATCH($B527,'Items'!$A$3:$A$202,0)),""))</f>
        <v/>
      </c>
      <c r="D527" s="4" t="n"/>
      <c r="E527" s="4" t="n"/>
      <c r="F527" s="6" t="n"/>
      <c r="G527" s="4" t="n"/>
      <c r="H527" s="4" t="n"/>
      <c r="I527" s="4" t="n"/>
      <c r="J527" s="4" t="n"/>
    </row>
    <row r="528">
      <c r="A528" s="5" t="n"/>
      <c r="B528" s="4" t="n"/>
      <c r="C528" s="8">
        <f>IF($B528="","",IFERROR(INDEX('Items'!$B$3:$B$202,MATCH($B528,'Items'!$A$3:$A$202,0)),""))</f>
        <v/>
      </c>
      <c r="D528" s="4" t="n"/>
      <c r="E528" s="4" t="n"/>
      <c r="F528" s="6" t="n"/>
      <c r="G528" s="4" t="n"/>
      <c r="H528" s="4" t="n"/>
      <c r="I528" s="4" t="n"/>
      <c r="J528" s="4" t="n"/>
    </row>
    <row r="529">
      <c r="A529" s="5" t="n"/>
      <c r="B529" s="4" t="n"/>
      <c r="C529" s="8">
        <f>IF($B529="","",IFERROR(INDEX('Items'!$B$3:$B$202,MATCH($B529,'Items'!$A$3:$A$202,0)),""))</f>
        <v/>
      </c>
      <c r="D529" s="4" t="n"/>
      <c r="E529" s="4" t="n"/>
      <c r="F529" s="6" t="n"/>
      <c r="G529" s="4" t="n"/>
      <c r="H529" s="4" t="n"/>
      <c r="I529" s="4" t="n"/>
      <c r="J529" s="4" t="n"/>
    </row>
    <row r="530">
      <c r="A530" s="5" t="n"/>
      <c r="B530" s="4" t="n"/>
      <c r="C530" s="8">
        <f>IF($B530="","",IFERROR(INDEX('Items'!$B$3:$B$202,MATCH($B530,'Items'!$A$3:$A$202,0)),""))</f>
        <v/>
      </c>
      <c r="D530" s="4" t="n"/>
      <c r="E530" s="4" t="n"/>
      <c r="F530" s="6" t="n"/>
      <c r="G530" s="4" t="n"/>
      <c r="H530" s="4" t="n"/>
      <c r="I530" s="4" t="n"/>
      <c r="J530" s="4" t="n"/>
    </row>
    <row r="531">
      <c r="A531" s="5" t="n"/>
      <c r="B531" s="4" t="n"/>
      <c r="C531" s="8">
        <f>IF($B531="","",IFERROR(INDEX('Items'!$B$3:$B$202,MATCH($B531,'Items'!$A$3:$A$202,0)),""))</f>
        <v/>
      </c>
      <c r="D531" s="4" t="n"/>
      <c r="E531" s="4" t="n"/>
      <c r="F531" s="6" t="n"/>
      <c r="G531" s="4" t="n"/>
      <c r="H531" s="4" t="n"/>
      <c r="I531" s="4" t="n"/>
      <c r="J531" s="4" t="n"/>
    </row>
    <row r="532">
      <c r="A532" s="5" t="n"/>
      <c r="B532" s="4" t="n"/>
      <c r="C532" s="8">
        <f>IF($B532="","",IFERROR(INDEX('Items'!$B$3:$B$202,MATCH($B532,'Items'!$A$3:$A$202,0)),""))</f>
        <v/>
      </c>
      <c r="D532" s="4" t="n"/>
      <c r="E532" s="4" t="n"/>
      <c r="F532" s="6" t="n"/>
      <c r="G532" s="4" t="n"/>
      <c r="H532" s="4" t="n"/>
      <c r="I532" s="4" t="n"/>
      <c r="J532" s="4" t="n"/>
    </row>
    <row r="533">
      <c r="A533" s="5" t="n"/>
      <c r="B533" s="4" t="n"/>
      <c r="C533" s="8">
        <f>IF($B533="","",IFERROR(INDEX('Items'!$B$3:$B$202,MATCH($B533,'Items'!$A$3:$A$202,0)),""))</f>
        <v/>
      </c>
      <c r="D533" s="4" t="n"/>
      <c r="E533" s="4" t="n"/>
      <c r="F533" s="6" t="n"/>
      <c r="G533" s="4" t="n"/>
      <c r="H533" s="4" t="n"/>
      <c r="I533" s="4" t="n"/>
      <c r="J533" s="4" t="n"/>
    </row>
    <row r="534">
      <c r="A534" s="5" t="n"/>
      <c r="B534" s="4" t="n"/>
      <c r="C534" s="8">
        <f>IF($B534="","",IFERROR(INDEX('Items'!$B$3:$B$202,MATCH($B534,'Items'!$A$3:$A$202,0)),""))</f>
        <v/>
      </c>
      <c r="D534" s="4" t="n"/>
      <c r="E534" s="4" t="n"/>
      <c r="F534" s="6" t="n"/>
      <c r="G534" s="4" t="n"/>
      <c r="H534" s="4" t="n"/>
      <c r="I534" s="4" t="n"/>
      <c r="J534" s="4" t="n"/>
    </row>
    <row r="535">
      <c r="A535" s="5" t="n"/>
      <c r="B535" s="4" t="n"/>
      <c r="C535" s="8">
        <f>IF($B535="","",IFERROR(INDEX('Items'!$B$3:$B$202,MATCH($B535,'Items'!$A$3:$A$202,0)),""))</f>
        <v/>
      </c>
      <c r="D535" s="4" t="n"/>
      <c r="E535" s="4" t="n"/>
      <c r="F535" s="6" t="n"/>
      <c r="G535" s="4" t="n"/>
      <c r="H535" s="4" t="n"/>
      <c r="I535" s="4" t="n"/>
      <c r="J535" s="4" t="n"/>
    </row>
    <row r="536">
      <c r="A536" s="5" t="n"/>
      <c r="B536" s="4" t="n"/>
      <c r="C536" s="8">
        <f>IF($B536="","",IFERROR(INDEX('Items'!$B$3:$B$202,MATCH($B536,'Items'!$A$3:$A$202,0)),""))</f>
        <v/>
      </c>
      <c r="D536" s="4" t="n"/>
      <c r="E536" s="4" t="n"/>
      <c r="F536" s="6" t="n"/>
      <c r="G536" s="4" t="n"/>
      <c r="H536" s="4" t="n"/>
      <c r="I536" s="4" t="n"/>
      <c r="J536" s="4" t="n"/>
    </row>
    <row r="537">
      <c r="A537" s="5" t="n"/>
      <c r="B537" s="4" t="n"/>
      <c r="C537" s="8">
        <f>IF($B537="","",IFERROR(INDEX('Items'!$B$3:$B$202,MATCH($B537,'Items'!$A$3:$A$202,0)),""))</f>
        <v/>
      </c>
      <c r="D537" s="4" t="n"/>
      <c r="E537" s="4" t="n"/>
      <c r="F537" s="6" t="n"/>
      <c r="G537" s="4" t="n"/>
      <c r="H537" s="4" t="n"/>
      <c r="I537" s="4" t="n"/>
      <c r="J537" s="4" t="n"/>
    </row>
    <row r="538">
      <c r="A538" s="5" t="n"/>
      <c r="B538" s="4" t="n"/>
      <c r="C538" s="8">
        <f>IF($B538="","",IFERROR(INDEX('Items'!$B$3:$B$202,MATCH($B538,'Items'!$A$3:$A$202,0)),""))</f>
        <v/>
      </c>
      <c r="D538" s="4" t="n"/>
      <c r="E538" s="4" t="n"/>
      <c r="F538" s="6" t="n"/>
      <c r="G538" s="4" t="n"/>
      <c r="H538" s="4" t="n"/>
      <c r="I538" s="4" t="n"/>
      <c r="J538" s="4" t="n"/>
    </row>
    <row r="539">
      <c r="A539" s="5" t="n"/>
      <c r="B539" s="4" t="n"/>
      <c r="C539" s="8">
        <f>IF($B539="","",IFERROR(INDEX('Items'!$B$3:$B$202,MATCH($B539,'Items'!$A$3:$A$202,0)),""))</f>
        <v/>
      </c>
      <c r="D539" s="4" t="n"/>
      <c r="E539" s="4" t="n"/>
      <c r="F539" s="6" t="n"/>
      <c r="G539" s="4" t="n"/>
      <c r="H539" s="4" t="n"/>
      <c r="I539" s="4" t="n"/>
      <c r="J539" s="4" t="n"/>
    </row>
    <row r="540">
      <c r="A540" s="5" t="n"/>
      <c r="B540" s="4" t="n"/>
      <c r="C540" s="8">
        <f>IF($B540="","",IFERROR(INDEX('Items'!$B$3:$B$202,MATCH($B540,'Items'!$A$3:$A$202,0)),""))</f>
        <v/>
      </c>
      <c r="D540" s="4" t="n"/>
      <c r="E540" s="4" t="n"/>
      <c r="F540" s="6" t="n"/>
      <c r="G540" s="4" t="n"/>
      <c r="H540" s="4" t="n"/>
      <c r="I540" s="4" t="n"/>
      <c r="J540" s="4" t="n"/>
    </row>
    <row r="541">
      <c r="A541" s="5" t="n"/>
      <c r="B541" s="4" t="n"/>
      <c r="C541" s="8">
        <f>IF($B541="","",IFERROR(INDEX('Items'!$B$3:$B$202,MATCH($B541,'Items'!$A$3:$A$202,0)),""))</f>
        <v/>
      </c>
      <c r="D541" s="4" t="n"/>
      <c r="E541" s="4" t="n"/>
      <c r="F541" s="6" t="n"/>
      <c r="G541" s="4" t="n"/>
      <c r="H541" s="4" t="n"/>
      <c r="I541" s="4" t="n"/>
      <c r="J541" s="4" t="n"/>
    </row>
    <row r="542">
      <c r="A542" s="5" t="n"/>
      <c r="B542" s="4" t="n"/>
      <c r="C542" s="8">
        <f>IF($B542="","",IFERROR(INDEX('Items'!$B$3:$B$202,MATCH($B542,'Items'!$A$3:$A$202,0)),""))</f>
        <v/>
      </c>
      <c r="D542" s="4" t="n"/>
      <c r="E542" s="4" t="n"/>
      <c r="F542" s="6" t="n"/>
      <c r="G542" s="4" t="n"/>
      <c r="H542" s="4" t="n"/>
      <c r="I542" s="4" t="n"/>
      <c r="J542" s="4" t="n"/>
    </row>
    <row r="543">
      <c r="A543" s="5" t="n"/>
      <c r="B543" s="4" t="n"/>
      <c r="C543" s="8">
        <f>IF($B543="","",IFERROR(INDEX('Items'!$B$3:$B$202,MATCH($B543,'Items'!$A$3:$A$202,0)),""))</f>
        <v/>
      </c>
      <c r="D543" s="4" t="n"/>
      <c r="E543" s="4" t="n"/>
      <c r="F543" s="6" t="n"/>
      <c r="G543" s="4" t="n"/>
      <c r="H543" s="4" t="n"/>
      <c r="I543" s="4" t="n"/>
      <c r="J543" s="4" t="n"/>
    </row>
    <row r="544">
      <c r="A544" s="5" t="n"/>
      <c r="B544" s="4" t="n"/>
      <c r="C544" s="8">
        <f>IF($B544="","",IFERROR(INDEX('Items'!$B$3:$B$202,MATCH($B544,'Items'!$A$3:$A$202,0)),""))</f>
        <v/>
      </c>
      <c r="D544" s="4" t="n"/>
      <c r="E544" s="4" t="n"/>
      <c r="F544" s="6" t="n"/>
      <c r="G544" s="4" t="n"/>
      <c r="H544" s="4" t="n"/>
      <c r="I544" s="4" t="n"/>
      <c r="J544" s="4" t="n"/>
    </row>
    <row r="545">
      <c r="A545" s="5" t="n"/>
      <c r="B545" s="4" t="n"/>
      <c r="C545" s="8">
        <f>IF($B545="","",IFERROR(INDEX('Items'!$B$3:$B$202,MATCH($B545,'Items'!$A$3:$A$202,0)),""))</f>
        <v/>
      </c>
      <c r="D545" s="4" t="n"/>
      <c r="E545" s="4" t="n"/>
      <c r="F545" s="6" t="n"/>
      <c r="G545" s="4" t="n"/>
      <c r="H545" s="4" t="n"/>
      <c r="I545" s="4" t="n"/>
      <c r="J545" s="4" t="n"/>
    </row>
    <row r="546">
      <c r="A546" s="5" t="n"/>
      <c r="B546" s="4" t="n"/>
      <c r="C546" s="8">
        <f>IF($B546="","",IFERROR(INDEX('Items'!$B$3:$B$202,MATCH($B546,'Items'!$A$3:$A$202,0)),""))</f>
        <v/>
      </c>
      <c r="D546" s="4" t="n"/>
      <c r="E546" s="4" t="n"/>
      <c r="F546" s="6" t="n"/>
      <c r="G546" s="4" t="n"/>
      <c r="H546" s="4" t="n"/>
      <c r="I546" s="4" t="n"/>
      <c r="J546" s="4" t="n"/>
    </row>
    <row r="547">
      <c r="A547" s="5" t="n"/>
      <c r="B547" s="4" t="n"/>
      <c r="C547" s="8">
        <f>IF($B547="","",IFERROR(INDEX('Items'!$B$3:$B$202,MATCH($B547,'Items'!$A$3:$A$202,0)),""))</f>
        <v/>
      </c>
      <c r="D547" s="4" t="n"/>
      <c r="E547" s="4" t="n"/>
      <c r="F547" s="6" t="n"/>
      <c r="G547" s="4" t="n"/>
      <c r="H547" s="4" t="n"/>
      <c r="I547" s="4" t="n"/>
      <c r="J547" s="4" t="n"/>
    </row>
    <row r="548">
      <c r="A548" s="5" t="n"/>
      <c r="B548" s="4" t="n"/>
      <c r="C548" s="8">
        <f>IF($B548="","",IFERROR(INDEX('Items'!$B$3:$B$202,MATCH($B548,'Items'!$A$3:$A$202,0)),""))</f>
        <v/>
      </c>
      <c r="D548" s="4" t="n"/>
      <c r="E548" s="4" t="n"/>
      <c r="F548" s="6" t="n"/>
      <c r="G548" s="4" t="n"/>
      <c r="H548" s="4" t="n"/>
      <c r="I548" s="4" t="n"/>
      <c r="J548" s="4" t="n"/>
    </row>
    <row r="549">
      <c r="A549" s="5" t="n"/>
      <c r="B549" s="4" t="n"/>
      <c r="C549" s="8">
        <f>IF($B549="","",IFERROR(INDEX('Items'!$B$3:$B$202,MATCH($B549,'Items'!$A$3:$A$202,0)),""))</f>
        <v/>
      </c>
      <c r="D549" s="4" t="n"/>
      <c r="E549" s="4" t="n"/>
      <c r="F549" s="6" t="n"/>
      <c r="G549" s="4" t="n"/>
      <c r="H549" s="4" t="n"/>
      <c r="I549" s="4" t="n"/>
      <c r="J549" s="4" t="n"/>
    </row>
    <row r="550">
      <c r="A550" s="5" t="n"/>
      <c r="B550" s="4" t="n"/>
      <c r="C550" s="8">
        <f>IF($B550="","",IFERROR(INDEX('Items'!$B$3:$B$202,MATCH($B550,'Items'!$A$3:$A$202,0)),""))</f>
        <v/>
      </c>
      <c r="D550" s="4" t="n"/>
      <c r="E550" s="4" t="n"/>
      <c r="F550" s="6" t="n"/>
      <c r="G550" s="4" t="n"/>
      <c r="H550" s="4" t="n"/>
      <c r="I550" s="4" t="n"/>
      <c r="J550" s="4" t="n"/>
    </row>
    <row r="551">
      <c r="A551" s="5" t="n"/>
      <c r="B551" s="4" t="n"/>
      <c r="C551" s="8">
        <f>IF($B551="","",IFERROR(INDEX('Items'!$B$3:$B$202,MATCH($B551,'Items'!$A$3:$A$202,0)),""))</f>
        <v/>
      </c>
      <c r="D551" s="4" t="n"/>
      <c r="E551" s="4" t="n"/>
      <c r="F551" s="6" t="n"/>
      <c r="G551" s="4" t="n"/>
      <c r="H551" s="4" t="n"/>
      <c r="I551" s="4" t="n"/>
      <c r="J551" s="4" t="n"/>
    </row>
    <row r="552">
      <c r="A552" s="5" t="n"/>
      <c r="B552" s="4" t="n"/>
      <c r="C552" s="8">
        <f>IF($B552="","",IFERROR(INDEX('Items'!$B$3:$B$202,MATCH($B552,'Items'!$A$3:$A$202,0)),""))</f>
        <v/>
      </c>
      <c r="D552" s="4" t="n"/>
      <c r="E552" s="4" t="n"/>
      <c r="F552" s="6" t="n"/>
      <c r="G552" s="4" t="n"/>
      <c r="H552" s="4" t="n"/>
      <c r="I552" s="4" t="n"/>
      <c r="J552" s="4" t="n"/>
    </row>
    <row r="553">
      <c r="A553" s="5" t="n"/>
      <c r="B553" s="4" t="n"/>
      <c r="C553" s="8">
        <f>IF($B553="","",IFERROR(INDEX('Items'!$B$3:$B$202,MATCH($B553,'Items'!$A$3:$A$202,0)),""))</f>
        <v/>
      </c>
      <c r="D553" s="4" t="n"/>
      <c r="E553" s="4" t="n"/>
      <c r="F553" s="6" t="n"/>
      <c r="G553" s="4" t="n"/>
      <c r="H553" s="4" t="n"/>
      <c r="I553" s="4" t="n"/>
      <c r="J553" s="4" t="n"/>
    </row>
    <row r="554">
      <c r="A554" s="5" t="n"/>
      <c r="B554" s="4" t="n"/>
      <c r="C554" s="8">
        <f>IF($B554="","",IFERROR(INDEX('Items'!$B$3:$B$202,MATCH($B554,'Items'!$A$3:$A$202,0)),""))</f>
        <v/>
      </c>
      <c r="D554" s="4" t="n"/>
      <c r="E554" s="4" t="n"/>
      <c r="F554" s="6" t="n"/>
      <c r="G554" s="4" t="n"/>
      <c r="H554" s="4" t="n"/>
      <c r="I554" s="4" t="n"/>
      <c r="J554" s="4" t="n"/>
    </row>
    <row r="555">
      <c r="A555" s="5" t="n"/>
      <c r="B555" s="4" t="n"/>
      <c r="C555" s="8">
        <f>IF($B555="","",IFERROR(INDEX('Items'!$B$3:$B$202,MATCH($B555,'Items'!$A$3:$A$202,0)),""))</f>
        <v/>
      </c>
      <c r="D555" s="4" t="n"/>
      <c r="E555" s="4" t="n"/>
      <c r="F555" s="6" t="n"/>
      <c r="G555" s="4" t="n"/>
      <c r="H555" s="4" t="n"/>
      <c r="I555" s="4" t="n"/>
      <c r="J555" s="4" t="n"/>
    </row>
    <row r="556">
      <c r="A556" s="5" t="n"/>
      <c r="B556" s="4" t="n"/>
      <c r="C556" s="8">
        <f>IF($B556="","",IFERROR(INDEX('Items'!$B$3:$B$202,MATCH($B556,'Items'!$A$3:$A$202,0)),""))</f>
        <v/>
      </c>
      <c r="D556" s="4" t="n"/>
      <c r="E556" s="4" t="n"/>
      <c r="F556" s="6" t="n"/>
      <c r="G556" s="4" t="n"/>
      <c r="H556" s="4" t="n"/>
      <c r="I556" s="4" t="n"/>
      <c r="J556" s="4" t="n"/>
    </row>
    <row r="557">
      <c r="A557" s="5" t="n"/>
      <c r="B557" s="4" t="n"/>
      <c r="C557" s="8">
        <f>IF($B557="","",IFERROR(INDEX('Items'!$B$3:$B$202,MATCH($B557,'Items'!$A$3:$A$202,0)),""))</f>
        <v/>
      </c>
      <c r="D557" s="4" t="n"/>
      <c r="E557" s="4" t="n"/>
      <c r="F557" s="6" t="n"/>
      <c r="G557" s="4" t="n"/>
      <c r="H557" s="4" t="n"/>
      <c r="I557" s="4" t="n"/>
      <c r="J557" s="4" t="n"/>
    </row>
    <row r="558">
      <c r="A558" s="5" t="n"/>
      <c r="B558" s="4" t="n"/>
      <c r="C558" s="8">
        <f>IF($B558="","",IFERROR(INDEX('Items'!$B$3:$B$202,MATCH($B558,'Items'!$A$3:$A$202,0)),""))</f>
        <v/>
      </c>
      <c r="D558" s="4" t="n"/>
      <c r="E558" s="4" t="n"/>
      <c r="F558" s="6" t="n"/>
      <c r="G558" s="4" t="n"/>
      <c r="H558" s="4" t="n"/>
      <c r="I558" s="4" t="n"/>
      <c r="J558" s="4" t="n"/>
    </row>
    <row r="559">
      <c r="A559" s="5" t="n"/>
      <c r="B559" s="4" t="n"/>
      <c r="C559" s="8">
        <f>IF($B559="","",IFERROR(INDEX('Items'!$B$3:$B$202,MATCH($B559,'Items'!$A$3:$A$202,0)),""))</f>
        <v/>
      </c>
      <c r="D559" s="4" t="n"/>
      <c r="E559" s="4" t="n"/>
      <c r="F559" s="6" t="n"/>
      <c r="G559" s="4" t="n"/>
      <c r="H559" s="4" t="n"/>
      <c r="I559" s="4" t="n"/>
      <c r="J559" s="4" t="n"/>
    </row>
    <row r="560">
      <c r="A560" s="5" t="n"/>
      <c r="B560" s="4" t="n"/>
      <c r="C560" s="8">
        <f>IF($B560="","",IFERROR(INDEX('Items'!$B$3:$B$202,MATCH($B560,'Items'!$A$3:$A$202,0)),""))</f>
        <v/>
      </c>
      <c r="D560" s="4" t="n"/>
      <c r="E560" s="4" t="n"/>
      <c r="F560" s="6" t="n"/>
      <c r="G560" s="4" t="n"/>
      <c r="H560" s="4" t="n"/>
      <c r="I560" s="4" t="n"/>
      <c r="J560" s="4" t="n"/>
    </row>
    <row r="561">
      <c r="A561" s="5" t="n"/>
      <c r="B561" s="4" t="n"/>
      <c r="C561" s="8">
        <f>IF($B561="","",IFERROR(INDEX('Items'!$B$3:$B$202,MATCH($B561,'Items'!$A$3:$A$202,0)),""))</f>
        <v/>
      </c>
      <c r="D561" s="4" t="n"/>
      <c r="E561" s="4" t="n"/>
      <c r="F561" s="6" t="n"/>
      <c r="G561" s="4" t="n"/>
      <c r="H561" s="4" t="n"/>
      <c r="I561" s="4" t="n"/>
      <c r="J561" s="4" t="n"/>
    </row>
    <row r="562">
      <c r="A562" s="5" t="n"/>
      <c r="B562" s="4" t="n"/>
      <c r="C562" s="8">
        <f>IF($B562="","",IFERROR(INDEX('Items'!$B$3:$B$202,MATCH($B562,'Items'!$A$3:$A$202,0)),""))</f>
        <v/>
      </c>
      <c r="D562" s="4" t="n"/>
      <c r="E562" s="4" t="n"/>
      <c r="F562" s="6" t="n"/>
      <c r="G562" s="4" t="n"/>
      <c r="H562" s="4" t="n"/>
      <c r="I562" s="4" t="n"/>
      <c r="J562" s="4" t="n"/>
    </row>
    <row r="563">
      <c r="A563" s="5" t="n"/>
      <c r="B563" s="4" t="n"/>
      <c r="C563" s="8">
        <f>IF($B563="","",IFERROR(INDEX('Items'!$B$3:$B$202,MATCH($B563,'Items'!$A$3:$A$202,0)),""))</f>
        <v/>
      </c>
      <c r="D563" s="4" t="n"/>
      <c r="E563" s="4" t="n"/>
      <c r="F563" s="6" t="n"/>
      <c r="G563" s="4" t="n"/>
      <c r="H563" s="4" t="n"/>
      <c r="I563" s="4" t="n"/>
      <c r="J563" s="4" t="n"/>
    </row>
    <row r="564">
      <c r="A564" s="5" t="n"/>
      <c r="B564" s="4" t="n"/>
      <c r="C564" s="8">
        <f>IF($B564="","",IFERROR(INDEX('Items'!$B$3:$B$202,MATCH($B564,'Items'!$A$3:$A$202,0)),""))</f>
        <v/>
      </c>
      <c r="D564" s="4" t="n"/>
      <c r="E564" s="4" t="n"/>
      <c r="F564" s="6" t="n"/>
      <c r="G564" s="4" t="n"/>
      <c r="H564" s="4" t="n"/>
      <c r="I564" s="4" t="n"/>
      <c r="J564" s="4" t="n"/>
    </row>
    <row r="565">
      <c r="A565" s="5" t="n"/>
      <c r="B565" s="4" t="n"/>
      <c r="C565" s="8">
        <f>IF($B565="","",IFERROR(INDEX('Items'!$B$3:$B$202,MATCH($B565,'Items'!$A$3:$A$202,0)),""))</f>
        <v/>
      </c>
      <c r="D565" s="4" t="n"/>
      <c r="E565" s="4" t="n"/>
      <c r="F565" s="6" t="n"/>
      <c r="G565" s="4" t="n"/>
      <c r="H565" s="4" t="n"/>
      <c r="I565" s="4" t="n"/>
      <c r="J565" s="4" t="n"/>
    </row>
    <row r="566">
      <c r="A566" s="5" t="n"/>
      <c r="B566" s="4" t="n"/>
      <c r="C566" s="8">
        <f>IF($B566="","",IFERROR(INDEX('Items'!$B$3:$B$202,MATCH($B566,'Items'!$A$3:$A$202,0)),""))</f>
        <v/>
      </c>
      <c r="D566" s="4" t="n"/>
      <c r="E566" s="4" t="n"/>
      <c r="F566" s="6" t="n"/>
      <c r="G566" s="4" t="n"/>
      <c r="H566" s="4" t="n"/>
      <c r="I566" s="4" t="n"/>
      <c r="J566" s="4" t="n"/>
    </row>
    <row r="567">
      <c r="A567" s="5" t="n"/>
      <c r="B567" s="4" t="n"/>
      <c r="C567" s="8">
        <f>IF($B567="","",IFERROR(INDEX('Items'!$B$3:$B$202,MATCH($B567,'Items'!$A$3:$A$202,0)),""))</f>
        <v/>
      </c>
      <c r="D567" s="4" t="n"/>
      <c r="E567" s="4" t="n"/>
      <c r="F567" s="6" t="n"/>
      <c r="G567" s="4" t="n"/>
      <c r="H567" s="4" t="n"/>
      <c r="I567" s="4" t="n"/>
      <c r="J567" s="4" t="n"/>
    </row>
    <row r="568">
      <c r="A568" s="5" t="n"/>
      <c r="B568" s="4" t="n"/>
      <c r="C568" s="8">
        <f>IF($B568="","",IFERROR(INDEX('Items'!$B$3:$B$202,MATCH($B568,'Items'!$A$3:$A$202,0)),""))</f>
        <v/>
      </c>
      <c r="D568" s="4" t="n"/>
      <c r="E568" s="4" t="n"/>
      <c r="F568" s="6" t="n"/>
      <c r="G568" s="4" t="n"/>
      <c r="H568" s="4" t="n"/>
      <c r="I568" s="4" t="n"/>
      <c r="J568" s="4" t="n"/>
    </row>
    <row r="569">
      <c r="A569" s="5" t="n"/>
      <c r="B569" s="4" t="n"/>
      <c r="C569" s="8">
        <f>IF($B569="","",IFERROR(INDEX('Items'!$B$3:$B$202,MATCH($B569,'Items'!$A$3:$A$202,0)),""))</f>
        <v/>
      </c>
      <c r="D569" s="4" t="n"/>
      <c r="E569" s="4" t="n"/>
      <c r="F569" s="6" t="n"/>
      <c r="G569" s="4" t="n"/>
      <c r="H569" s="4" t="n"/>
      <c r="I569" s="4" t="n"/>
      <c r="J569" s="4" t="n"/>
    </row>
    <row r="570">
      <c r="A570" s="5" t="n"/>
      <c r="B570" s="4" t="n"/>
      <c r="C570" s="8">
        <f>IF($B570="","",IFERROR(INDEX('Items'!$B$3:$B$202,MATCH($B570,'Items'!$A$3:$A$202,0)),""))</f>
        <v/>
      </c>
      <c r="D570" s="4" t="n"/>
      <c r="E570" s="4" t="n"/>
      <c r="F570" s="6" t="n"/>
      <c r="G570" s="4" t="n"/>
      <c r="H570" s="4" t="n"/>
      <c r="I570" s="4" t="n"/>
      <c r="J570" s="4" t="n"/>
    </row>
    <row r="571">
      <c r="A571" s="5" t="n"/>
      <c r="B571" s="4" t="n"/>
      <c r="C571" s="8">
        <f>IF($B571="","",IFERROR(INDEX('Items'!$B$3:$B$202,MATCH($B571,'Items'!$A$3:$A$202,0)),""))</f>
        <v/>
      </c>
      <c r="D571" s="4" t="n"/>
      <c r="E571" s="4" t="n"/>
      <c r="F571" s="6" t="n"/>
      <c r="G571" s="4" t="n"/>
      <c r="H571" s="4" t="n"/>
      <c r="I571" s="4" t="n"/>
      <c r="J571" s="4" t="n"/>
    </row>
    <row r="572">
      <c r="A572" s="5" t="n"/>
      <c r="B572" s="4" t="n"/>
      <c r="C572" s="8">
        <f>IF($B572="","",IFERROR(INDEX('Items'!$B$3:$B$202,MATCH($B572,'Items'!$A$3:$A$202,0)),""))</f>
        <v/>
      </c>
      <c r="D572" s="4" t="n"/>
      <c r="E572" s="4" t="n"/>
      <c r="F572" s="6" t="n"/>
      <c r="G572" s="4" t="n"/>
      <c r="H572" s="4" t="n"/>
      <c r="I572" s="4" t="n"/>
      <c r="J572" s="4" t="n"/>
    </row>
    <row r="573">
      <c r="A573" s="5" t="n"/>
      <c r="B573" s="4" t="n"/>
      <c r="C573" s="8">
        <f>IF($B573="","",IFERROR(INDEX('Items'!$B$3:$B$202,MATCH($B573,'Items'!$A$3:$A$202,0)),""))</f>
        <v/>
      </c>
      <c r="D573" s="4" t="n"/>
      <c r="E573" s="4" t="n"/>
      <c r="F573" s="6" t="n"/>
      <c r="G573" s="4" t="n"/>
      <c r="H573" s="4" t="n"/>
      <c r="I573" s="4" t="n"/>
      <c r="J573" s="4" t="n"/>
    </row>
    <row r="574">
      <c r="A574" s="5" t="n"/>
      <c r="B574" s="4" t="n"/>
      <c r="C574" s="8">
        <f>IF($B574="","",IFERROR(INDEX('Items'!$B$3:$B$202,MATCH($B574,'Items'!$A$3:$A$202,0)),""))</f>
        <v/>
      </c>
      <c r="D574" s="4" t="n"/>
      <c r="E574" s="4" t="n"/>
      <c r="F574" s="6" t="n"/>
      <c r="G574" s="4" t="n"/>
      <c r="H574" s="4" t="n"/>
      <c r="I574" s="4" t="n"/>
      <c r="J574" s="4" t="n"/>
    </row>
    <row r="575">
      <c r="A575" s="5" t="n"/>
      <c r="B575" s="4" t="n"/>
      <c r="C575" s="8">
        <f>IF($B575="","",IFERROR(INDEX('Items'!$B$3:$B$202,MATCH($B575,'Items'!$A$3:$A$202,0)),""))</f>
        <v/>
      </c>
      <c r="D575" s="4" t="n"/>
      <c r="E575" s="4" t="n"/>
      <c r="F575" s="6" t="n"/>
      <c r="G575" s="4" t="n"/>
      <c r="H575" s="4" t="n"/>
      <c r="I575" s="4" t="n"/>
      <c r="J575" s="4" t="n"/>
    </row>
    <row r="576">
      <c r="A576" s="5" t="n"/>
      <c r="B576" s="4" t="n"/>
      <c r="C576" s="8">
        <f>IF($B576="","",IFERROR(INDEX('Items'!$B$3:$B$202,MATCH($B576,'Items'!$A$3:$A$202,0)),""))</f>
        <v/>
      </c>
      <c r="D576" s="4" t="n"/>
      <c r="E576" s="4" t="n"/>
      <c r="F576" s="6" t="n"/>
      <c r="G576" s="4" t="n"/>
      <c r="H576" s="4" t="n"/>
      <c r="I576" s="4" t="n"/>
      <c r="J576" s="4" t="n"/>
    </row>
    <row r="577">
      <c r="A577" s="5" t="n"/>
      <c r="B577" s="4" t="n"/>
      <c r="C577" s="8">
        <f>IF($B577="","",IFERROR(INDEX('Items'!$B$3:$B$202,MATCH($B577,'Items'!$A$3:$A$202,0)),""))</f>
        <v/>
      </c>
      <c r="D577" s="4" t="n"/>
      <c r="E577" s="4" t="n"/>
      <c r="F577" s="6" t="n"/>
      <c r="G577" s="4" t="n"/>
      <c r="H577" s="4" t="n"/>
      <c r="I577" s="4" t="n"/>
      <c r="J577" s="4" t="n"/>
    </row>
    <row r="578">
      <c r="A578" s="5" t="n"/>
      <c r="B578" s="4" t="n"/>
      <c r="C578" s="8">
        <f>IF($B578="","",IFERROR(INDEX('Items'!$B$3:$B$202,MATCH($B578,'Items'!$A$3:$A$202,0)),""))</f>
        <v/>
      </c>
      <c r="D578" s="4" t="n"/>
      <c r="E578" s="4" t="n"/>
      <c r="F578" s="6" t="n"/>
      <c r="G578" s="4" t="n"/>
      <c r="H578" s="4" t="n"/>
      <c r="I578" s="4" t="n"/>
      <c r="J578" s="4" t="n"/>
    </row>
    <row r="579">
      <c r="A579" s="5" t="n"/>
      <c r="B579" s="4" t="n"/>
      <c r="C579" s="8">
        <f>IF($B579="","",IFERROR(INDEX('Items'!$B$3:$B$202,MATCH($B579,'Items'!$A$3:$A$202,0)),""))</f>
        <v/>
      </c>
      <c r="D579" s="4" t="n"/>
      <c r="E579" s="4" t="n"/>
      <c r="F579" s="6" t="n"/>
      <c r="G579" s="4" t="n"/>
      <c r="H579" s="4" t="n"/>
      <c r="I579" s="4" t="n"/>
      <c r="J579" s="4" t="n"/>
    </row>
    <row r="580">
      <c r="A580" s="5" t="n"/>
      <c r="B580" s="4" t="n"/>
      <c r="C580" s="8">
        <f>IF($B580="","",IFERROR(INDEX('Items'!$B$3:$B$202,MATCH($B580,'Items'!$A$3:$A$202,0)),""))</f>
        <v/>
      </c>
      <c r="D580" s="4" t="n"/>
      <c r="E580" s="4" t="n"/>
      <c r="F580" s="6" t="n"/>
      <c r="G580" s="4" t="n"/>
      <c r="H580" s="4" t="n"/>
      <c r="I580" s="4" t="n"/>
      <c r="J580" s="4" t="n"/>
    </row>
    <row r="581">
      <c r="A581" s="5" t="n"/>
      <c r="B581" s="4" t="n"/>
      <c r="C581" s="8">
        <f>IF($B581="","",IFERROR(INDEX('Items'!$B$3:$B$202,MATCH($B581,'Items'!$A$3:$A$202,0)),""))</f>
        <v/>
      </c>
      <c r="D581" s="4" t="n"/>
      <c r="E581" s="4" t="n"/>
      <c r="F581" s="6" t="n"/>
      <c r="G581" s="4" t="n"/>
      <c r="H581" s="4" t="n"/>
      <c r="I581" s="4" t="n"/>
      <c r="J581" s="4" t="n"/>
    </row>
    <row r="582">
      <c r="A582" s="5" t="n"/>
      <c r="B582" s="4" t="n"/>
      <c r="C582" s="8">
        <f>IF($B582="","",IFERROR(INDEX('Items'!$B$3:$B$202,MATCH($B582,'Items'!$A$3:$A$202,0)),""))</f>
        <v/>
      </c>
      <c r="D582" s="4" t="n"/>
      <c r="E582" s="4" t="n"/>
      <c r="F582" s="6" t="n"/>
      <c r="G582" s="4" t="n"/>
      <c r="H582" s="4" t="n"/>
      <c r="I582" s="4" t="n"/>
      <c r="J582" s="4" t="n"/>
    </row>
    <row r="583">
      <c r="A583" s="5" t="n"/>
      <c r="B583" s="4" t="n"/>
      <c r="C583" s="8">
        <f>IF($B583="","",IFERROR(INDEX('Items'!$B$3:$B$202,MATCH($B583,'Items'!$A$3:$A$202,0)),""))</f>
        <v/>
      </c>
      <c r="D583" s="4" t="n"/>
      <c r="E583" s="4" t="n"/>
      <c r="F583" s="6" t="n"/>
      <c r="G583" s="4" t="n"/>
      <c r="H583" s="4" t="n"/>
      <c r="I583" s="4" t="n"/>
      <c r="J583" s="4" t="n"/>
    </row>
    <row r="584">
      <c r="A584" s="5" t="n"/>
      <c r="B584" s="4" t="n"/>
      <c r="C584" s="8">
        <f>IF($B584="","",IFERROR(INDEX('Items'!$B$3:$B$202,MATCH($B584,'Items'!$A$3:$A$202,0)),""))</f>
        <v/>
      </c>
      <c r="D584" s="4" t="n"/>
      <c r="E584" s="4" t="n"/>
      <c r="F584" s="6" t="n"/>
      <c r="G584" s="4" t="n"/>
      <c r="H584" s="4" t="n"/>
      <c r="I584" s="4" t="n"/>
      <c r="J584" s="4" t="n"/>
    </row>
    <row r="585">
      <c r="A585" s="5" t="n"/>
      <c r="B585" s="4" t="n"/>
      <c r="C585" s="8">
        <f>IF($B585="","",IFERROR(INDEX('Items'!$B$3:$B$202,MATCH($B585,'Items'!$A$3:$A$202,0)),""))</f>
        <v/>
      </c>
      <c r="D585" s="4" t="n"/>
      <c r="E585" s="4" t="n"/>
      <c r="F585" s="6" t="n"/>
      <c r="G585" s="4" t="n"/>
      <c r="H585" s="4" t="n"/>
      <c r="I585" s="4" t="n"/>
      <c r="J585" s="4" t="n"/>
    </row>
    <row r="586">
      <c r="A586" s="5" t="n"/>
      <c r="B586" s="4" t="n"/>
      <c r="C586" s="8">
        <f>IF($B586="","",IFERROR(INDEX('Items'!$B$3:$B$202,MATCH($B586,'Items'!$A$3:$A$202,0)),""))</f>
        <v/>
      </c>
      <c r="D586" s="4" t="n"/>
      <c r="E586" s="4" t="n"/>
      <c r="F586" s="6" t="n"/>
      <c r="G586" s="4" t="n"/>
      <c r="H586" s="4" t="n"/>
      <c r="I586" s="4" t="n"/>
      <c r="J586" s="4" t="n"/>
    </row>
    <row r="587">
      <c r="A587" s="5" t="n"/>
      <c r="B587" s="4" t="n"/>
      <c r="C587" s="8">
        <f>IF($B587="","",IFERROR(INDEX('Items'!$B$3:$B$202,MATCH($B587,'Items'!$A$3:$A$202,0)),""))</f>
        <v/>
      </c>
      <c r="D587" s="4" t="n"/>
      <c r="E587" s="4" t="n"/>
      <c r="F587" s="6" t="n"/>
      <c r="G587" s="4" t="n"/>
      <c r="H587" s="4" t="n"/>
      <c r="I587" s="4" t="n"/>
      <c r="J587" s="4" t="n"/>
    </row>
    <row r="588">
      <c r="A588" s="5" t="n"/>
      <c r="B588" s="4" t="n"/>
      <c r="C588" s="8">
        <f>IF($B588="","",IFERROR(INDEX('Items'!$B$3:$B$202,MATCH($B588,'Items'!$A$3:$A$202,0)),""))</f>
        <v/>
      </c>
      <c r="D588" s="4" t="n"/>
      <c r="E588" s="4" t="n"/>
      <c r="F588" s="6" t="n"/>
      <c r="G588" s="4" t="n"/>
      <c r="H588" s="4" t="n"/>
      <c r="I588" s="4" t="n"/>
      <c r="J588" s="4" t="n"/>
    </row>
    <row r="589">
      <c r="A589" s="5" t="n"/>
      <c r="B589" s="4" t="n"/>
      <c r="C589" s="8">
        <f>IF($B589="","",IFERROR(INDEX('Items'!$B$3:$B$202,MATCH($B589,'Items'!$A$3:$A$202,0)),""))</f>
        <v/>
      </c>
      <c r="D589" s="4" t="n"/>
      <c r="E589" s="4" t="n"/>
      <c r="F589" s="6" t="n"/>
      <c r="G589" s="4" t="n"/>
      <c r="H589" s="4" t="n"/>
      <c r="I589" s="4" t="n"/>
      <c r="J589" s="4" t="n"/>
    </row>
    <row r="590">
      <c r="A590" s="5" t="n"/>
      <c r="B590" s="4" t="n"/>
      <c r="C590" s="8">
        <f>IF($B590="","",IFERROR(INDEX('Items'!$B$3:$B$202,MATCH($B590,'Items'!$A$3:$A$202,0)),""))</f>
        <v/>
      </c>
      <c r="D590" s="4" t="n"/>
      <c r="E590" s="4" t="n"/>
      <c r="F590" s="6" t="n"/>
      <c r="G590" s="4" t="n"/>
      <c r="H590" s="4" t="n"/>
      <c r="I590" s="4" t="n"/>
      <c r="J590" s="4" t="n"/>
    </row>
    <row r="591">
      <c r="A591" s="5" t="n"/>
      <c r="B591" s="4" t="n"/>
      <c r="C591" s="8">
        <f>IF($B591="","",IFERROR(INDEX('Items'!$B$3:$B$202,MATCH($B591,'Items'!$A$3:$A$202,0)),""))</f>
        <v/>
      </c>
      <c r="D591" s="4" t="n"/>
      <c r="E591" s="4" t="n"/>
      <c r="F591" s="6" t="n"/>
      <c r="G591" s="4" t="n"/>
      <c r="H591" s="4" t="n"/>
      <c r="I591" s="4" t="n"/>
      <c r="J591" s="4" t="n"/>
    </row>
    <row r="592">
      <c r="A592" s="5" t="n"/>
      <c r="B592" s="4" t="n"/>
      <c r="C592" s="8">
        <f>IF($B592="","",IFERROR(INDEX('Items'!$B$3:$B$202,MATCH($B592,'Items'!$A$3:$A$202,0)),""))</f>
        <v/>
      </c>
      <c r="D592" s="4" t="n"/>
      <c r="E592" s="4" t="n"/>
      <c r="F592" s="6" t="n"/>
      <c r="G592" s="4" t="n"/>
      <c r="H592" s="4" t="n"/>
      <c r="I592" s="4" t="n"/>
      <c r="J592" s="4" t="n"/>
    </row>
    <row r="593">
      <c r="A593" s="5" t="n"/>
      <c r="B593" s="4" t="n"/>
      <c r="C593" s="8">
        <f>IF($B593="","",IFERROR(INDEX('Items'!$B$3:$B$202,MATCH($B593,'Items'!$A$3:$A$202,0)),""))</f>
        <v/>
      </c>
      <c r="D593" s="4" t="n"/>
      <c r="E593" s="4" t="n"/>
      <c r="F593" s="6" t="n"/>
      <c r="G593" s="4" t="n"/>
      <c r="H593" s="4" t="n"/>
      <c r="I593" s="4" t="n"/>
      <c r="J593" s="4" t="n"/>
    </row>
    <row r="594">
      <c r="A594" s="5" t="n"/>
      <c r="B594" s="4" t="n"/>
      <c r="C594" s="8">
        <f>IF($B594="","",IFERROR(INDEX('Items'!$B$3:$B$202,MATCH($B594,'Items'!$A$3:$A$202,0)),""))</f>
        <v/>
      </c>
      <c r="D594" s="4" t="n"/>
      <c r="E594" s="4" t="n"/>
      <c r="F594" s="6" t="n"/>
      <c r="G594" s="4" t="n"/>
      <c r="H594" s="4" t="n"/>
      <c r="I594" s="4" t="n"/>
      <c r="J594" s="4" t="n"/>
    </row>
    <row r="595">
      <c r="A595" s="5" t="n"/>
      <c r="B595" s="4" t="n"/>
      <c r="C595" s="8">
        <f>IF($B595="","",IFERROR(INDEX('Items'!$B$3:$B$202,MATCH($B595,'Items'!$A$3:$A$202,0)),""))</f>
        <v/>
      </c>
      <c r="D595" s="4" t="n"/>
      <c r="E595" s="4" t="n"/>
      <c r="F595" s="6" t="n"/>
      <c r="G595" s="4" t="n"/>
      <c r="H595" s="4" t="n"/>
      <c r="I595" s="4" t="n"/>
      <c r="J595" s="4" t="n"/>
    </row>
    <row r="596">
      <c r="A596" s="5" t="n"/>
      <c r="B596" s="4" t="n"/>
      <c r="C596" s="8">
        <f>IF($B596="","",IFERROR(INDEX('Items'!$B$3:$B$202,MATCH($B596,'Items'!$A$3:$A$202,0)),""))</f>
        <v/>
      </c>
      <c r="D596" s="4" t="n"/>
      <c r="E596" s="4" t="n"/>
      <c r="F596" s="6" t="n"/>
      <c r="G596" s="4" t="n"/>
      <c r="H596" s="4" t="n"/>
      <c r="I596" s="4" t="n"/>
      <c r="J596" s="4" t="n"/>
    </row>
    <row r="597">
      <c r="A597" s="5" t="n"/>
      <c r="B597" s="4" t="n"/>
      <c r="C597" s="8">
        <f>IF($B597="","",IFERROR(INDEX('Items'!$B$3:$B$202,MATCH($B597,'Items'!$A$3:$A$202,0)),""))</f>
        <v/>
      </c>
      <c r="D597" s="4" t="n"/>
      <c r="E597" s="4" t="n"/>
      <c r="F597" s="6" t="n"/>
      <c r="G597" s="4" t="n"/>
      <c r="H597" s="4" t="n"/>
      <c r="I597" s="4" t="n"/>
      <c r="J597" s="4" t="n"/>
    </row>
    <row r="598">
      <c r="A598" s="5" t="n"/>
      <c r="B598" s="4" t="n"/>
      <c r="C598" s="8">
        <f>IF($B598="","",IFERROR(INDEX('Items'!$B$3:$B$202,MATCH($B598,'Items'!$A$3:$A$202,0)),""))</f>
        <v/>
      </c>
      <c r="D598" s="4" t="n"/>
      <c r="E598" s="4" t="n"/>
      <c r="F598" s="6" t="n"/>
      <c r="G598" s="4" t="n"/>
      <c r="H598" s="4" t="n"/>
      <c r="I598" s="4" t="n"/>
      <c r="J598" s="4" t="n"/>
    </row>
    <row r="599">
      <c r="A599" s="5" t="n"/>
      <c r="B599" s="4" t="n"/>
      <c r="C599" s="8">
        <f>IF($B599="","",IFERROR(INDEX('Items'!$B$3:$B$202,MATCH($B599,'Items'!$A$3:$A$202,0)),""))</f>
        <v/>
      </c>
      <c r="D599" s="4" t="n"/>
      <c r="E599" s="4" t="n"/>
      <c r="F599" s="6" t="n"/>
      <c r="G599" s="4" t="n"/>
      <c r="H599" s="4" t="n"/>
      <c r="I599" s="4" t="n"/>
      <c r="J599" s="4" t="n"/>
    </row>
    <row r="600">
      <c r="A600" s="5" t="n"/>
      <c r="B600" s="4" t="n"/>
      <c r="C600" s="8">
        <f>IF($B600="","",IFERROR(INDEX('Items'!$B$3:$B$202,MATCH($B600,'Items'!$A$3:$A$202,0)),""))</f>
        <v/>
      </c>
      <c r="D600" s="4" t="n"/>
      <c r="E600" s="4" t="n"/>
      <c r="F600" s="6" t="n"/>
      <c r="G600" s="4" t="n"/>
      <c r="H600" s="4" t="n"/>
      <c r="I600" s="4" t="n"/>
      <c r="J600" s="4" t="n"/>
    </row>
    <row r="601">
      <c r="A601" s="5" t="n"/>
      <c r="B601" s="4" t="n"/>
      <c r="C601" s="8">
        <f>IF($B601="","",IFERROR(INDEX('Items'!$B$3:$B$202,MATCH($B601,'Items'!$A$3:$A$202,0)),""))</f>
        <v/>
      </c>
      <c r="D601" s="4" t="n"/>
      <c r="E601" s="4" t="n"/>
      <c r="F601" s="6" t="n"/>
      <c r="G601" s="4" t="n"/>
      <c r="H601" s="4" t="n"/>
      <c r="I601" s="4" t="n"/>
      <c r="J601" s="4" t="n"/>
    </row>
    <row r="602">
      <c r="A602" s="5" t="n"/>
      <c r="B602" s="4" t="n"/>
      <c r="C602" s="8">
        <f>IF($B602="","",IFERROR(INDEX('Items'!$B$3:$B$202,MATCH($B602,'Items'!$A$3:$A$202,0)),""))</f>
        <v/>
      </c>
      <c r="D602" s="4" t="n"/>
      <c r="E602" s="4" t="n"/>
      <c r="F602" s="6" t="n"/>
      <c r="G602" s="4" t="n"/>
      <c r="H602" s="4" t="n"/>
      <c r="I602" s="4" t="n"/>
      <c r="J602" s="4" t="n"/>
    </row>
    <row r="603">
      <c r="A603" s="5" t="n"/>
      <c r="B603" s="4" t="n"/>
      <c r="C603" s="8">
        <f>IF($B603="","",IFERROR(INDEX('Items'!$B$3:$B$202,MATCH($B603,'Items'!$A$3:$A$202,0)),""))</f>
        <v/>
      </c>
      <c r="D603" s="4" t="n"/>
      <c r="E603" s="4" t="n"/>
      <c r="F603" s="6" t="n"/>
      <c r="G603" s="4" t="n"/>
      <c r="H603" s="4" t="n"/>
      <c r="I603" s="4" t="n"/>
      <c r="J603" s="4" t="n"/>
    </row>
    <row r="604">
      <c r="A604" s="5" t="n"/>
      <c r="B604" s="4" t="n"/>
      <c r="C604" s="8">
        <f>IF($B604="","",IFERROR(INDEX('Items'!$B$3:$B$202,MATCH($B604,'Items'!$A$3:$A$202,0)),""))</f>
        <v/>
      </c>
      <c r="D604" s="4" t="n"/>
      <c r="E604" s="4" t="n"/>
      <c r="F604" s="6" t="n"/>
      <c r="G604" s="4" t="n"/>
      <c r="H604" s="4" t="n"/>
      <c r="I604" s="4" t="n"/>
      <c r="J604" s="4" t="n"/>
    </row>
    <row r="605">
      <c r="A605" s="5" t="n"/>
      <c r="B605" s="4" t="n"/>
      <c r="C605" s="8">
        <f>IF($B605="","",IFERROR(INDEX('Items'!$B$3:$B$202,MATCH($B605,'Items'!$A$3:$A$202,0)),""))</f>
        <v/>
      </c>
      <c r="D605" s="4" t="n"/>
      <c r="E605" s="4" t="n"/>
      <c r="F605" s="6" t="n"/>
      <c r="G605" s="4" t="n"/>
      <c r="H605" s="4" t="n"/>
      <c r="I605" s="4" t="n"/>
      <c r="J605" s="4" t="n"/>
    </row>
    <row r="606">
      <c r="A606" s="5" t="n"/>
      <c r="B606" s="4" t="n"/>
      <c r="C606" s="8">
        <f>IF($B606="","",IFERROR(INDEX('Items'!$B$3:$B$202,MATCH($B606,'Items'!$A$3:$A$202,0)),""))</f>
        <v/>
      </c>
      <c r="D606" s="4" t="n"/>
      <c r="E606" s="4" t="n"/>
      <c r="F606" s="6" t="n"/>
      <c r="G606" s="4" t="n"/>
      <c r="H606" s="4" t="n"/>
      <c r="I606" s="4" t="n"/>
      <c r="J606" s="4" t="n"/>
    </row>
    <row r="607">
      <c r="A607" s="5" t="n"/>
      <c r="B607" s="4" t="n"/>
      <c r="C607" s="8">
        <f>IF($B607="","",IFERROR(INDEX('Items'!$B$3:$B$202,MATCH($B607,'Items'!$A$3:$A$202,0)),""))</f>
        <v/>
      </c>
      <c r="D607" s="4" t="n"/>
      <c r="E607" s="4" t="n"/>
      <c r="F607" s="6" t="n"/>
      <c r="G607" s="4" t="n"/>
      <c r="H607" s="4" t="n"/>
      <c r="I607" s="4" t="n"/>
      <c r="J607" s="4" t="n"/>
    </row>
    <row r="608">
      <c r="A608" s="5" t="n"/>
      <c r="B608" s="4" t="n"/>
      <c r="C608" s="8">
        <f>IF($B608="","",IFERROR(INDEX('Items'!$B$3:$B$202,MATCH($B608,'Items'!$A$3:$A$202,0)),""))</f>
        <v/>
      </c>
      <c r="D608" s="4" t="n"/>
      <c r="E608" s="4" t="n"/>
      <c r="F608" s="6" t="n"/>
      <c r="G608" s="4" t="n"/>
      <c r="H608" s="4" t="n"/>
      <c r="I608" s="4" t="n"/>
      <c r="J608" s="4" t="n"/>
    </row>
    <row r="609">
      <c r="A609" s="5" t="n"/>
      <c r="B609" s="4" t="n"/>
      <c r="C609" s="8">
        <f>IF($B609="","",IFERROR(INDEX('Items'!$B$3:$B$202,MATCH($B609,'Items'!$A$3:$A$202,0)),""))</f>
        <v/>
      </c>
      <c r="D609" s="4" t="n"/>
      <c r="E609" s="4" t="n"/>
      <c r="F609" s="6" t="n"/>
      <c r="G609" s="4" t="n"/>
      <c r="H609" s="4" t="n"/>
      <c r="I609" s="4" t="n"/>
      <c r="J609" s="4" t="n"/>
    </row>
    <row r="610">
      <c r="A610" s="5" t="n"/>
      <c r="B610" s="4" t="n"/>
      <c r="C610" s="8">
        <f>IF($B610="","",IFERROR(INDEX('Items'!$B$3:$B$202,MATCH($B610,'Items'!$A$3:$A$202,0)),""))</f>
        <v/>
      </c>
      <c r="D610" s="4" t="n"/>
      <c r="E610" s="4" t="n"/>
      <c r="F610" s="6" t="n"/>
      <c r="G610" s="4" t="n"/>
      <c r="H610" s="4" t="n"/>
      <c r="I610" s="4" t="n"/>
      <c r="J610" s="4" t="n"/>
    </row>
    <row r="611">
      <c r="A611" s="5" t="n"/>
      <c r="B611" s="4" t="n"/>
      <c r="C611" s="8">
        <f>IF($B611="","",IFERROR(INDEX('Items'!$B$3:$B$202,MATCH($B611,'Items'!$A$3:$A$202,0)),""))</f>
        <v/>
      </c>
      <c r="D611" s="4" t="n"/>
      <c r="E611" s="4" t="n"/>
      <c r="F611" s="6" t="n"/>
      <c r="G611" s="4" t="n"/>
      <c r="H611" s="4" t="n"/>
      <c r="I611" s="4" t="n"/>
      <c r="J611" s="4" t="n"/>
    </row>
    <row r="612">
      <c r="A612" s="5" t="n"/>
      <c r="B612" s="4" t="n"/>
      <c r="C612" s="8">
        <f>IF($B612="","",IFERROR(INDEX('Items'!$B$3:$B$202,MATCH($B612,'Items'!$A$3:$A$202,0)),""))</f>
        <v/>
      </c>
      <c r="D612" s="4" t="n"/>
      <c r="E612" s="4" t="n"/>
      <c r="F612" s="6" t="n"/>
      <c r="G612" s="4" t="n"/>
      <c r="H612" s="4" t="n"/>
      <c r="I612" s="4" t="n"/>
      <c r="J612" s="4" t="n"/>
    </row>
    <row r="613">
      <c r="A613" s="5" t="n"/>
      <c r="B613" s="4" t="n"/>
      <c r="C613" s="8">
        <f>IF($B613="","",IFERROR(INDEX('Items'!$B$3:$B$202,MATCH($B613,'Items'!$A$3:$A$202,0)),""))</f>
        <v/>
      </c>
      <c r="D613" s="4" t="n"/>
      <c r="E613" s="4" t="n"/>
      <c r="F613" s="6" t="n"/>
      <c r="G613" s="4" t="n"/>
      <c r="H613" s="4" t="n"/>
      <c r="I613" s="4" t="n"/>
      <c r="J613" s="4" t="n"/>
    </row>
    <row r="614">
      <c r="A614" s="5" t="n"/>
      <c r="B614" s="4" t="n"/>
      <c r="C614" s="8">
        <f>IF($B614="","",IFERROR(INDEX('Items'!$B$3:$B$202,MATCH($B614,'Items'!$A$3:$A$202,0)),""))</f>
        <v/>
      </c>
      <c r="D614" s="4" t="n"/>
      <c r="E614" s="4" t="n"/>
      <c r="F614" s="6" t="n"/>
      <c r="G614" s="4" t="n"/>
      <c r="H614" s="4" t="n"/>
      <c r="I614" s="4" t="n"/>
      <c r="J614" s="4" t="n"/>
    </row>
    <row r="615">
      <c r="A615" s="5" t="n"/>
      <c r="B615" s="4" t="n"/>
      <c r="C615" s="8">
        <f>IF($B615="","",IFERROR(INDEX('Items'!$B$3:$B$202,MATCH($B615,'Items'!$A$3:$A$202,0)),""))</f>
        <v/>
      </c>
      <c r="D615" s="4" t="n"/>
      <c r="E615" s="4" t="n"/>
      <c r="F615" s="6" t="n"/>
      <c r="G615" s="4" t="n"/>
      <c r="H615" s="4" t="n"/>
      <c r="I615" s="4" t="n"/>
      <c r="J615" s="4" t="n"/>
    </row>
    <row r="616">
      <c r="A616" s="5" t="n"/>
      <c r="B616" s="4" t="n"/>
      <c r="C616" s="8">
        <f>IF($B616="","",IFERROR(INDEX('Items'!$B$3:$B$202,MATCH($B616,'Items'!$A$3:$A$202,0)),""))</f>
        <v/>
      </c>
      <c r="D616" s="4" t="n"/>
      <c r="E616" s="4" t="n"/>
      <c r="F616" s="6" t="n"/>
      <c r="G616" s="4" t="n"/>
      <c r="H616" s="4" t="n"/>
      <c r="I616" s="4" t="n"/>
      <c r="J616" s="4" t="n"/>
    </row>
    <row r="617">
      <c r="A617" s="5" t="n"/>
      <c r="B617" s="4" t="n"/>
      <c r="C617" s="8">
        <f>IF($B617="","",IFERROR(INDEX('Items'!$B$3:$B$202,MATCH($B617,'Items'!$A$3:$A$202,0)),""))</f>
        <v/>
      </c>
      <c r="D617" s="4" t="n"/>
      <c r="E617" s="4" t="n"/>
      <c r="F617" s="6" t="n"/>
      <c r="G617" s="4" t="n"/>
      <c r="H617" s="4" t="n"/>
      <c r="I617" s="4" t="n"/>
      <c r="J617" s="4" t="n"/>
    </row>
    <row r="618">
      <c r="A618" s="5" t="n"/>
      <c r="B618" s="4" t="n"/>
      <c r="C618" s="8">
        <f>IF($B618="","",IFERROR(INDEX('Items'!$B$3:$B$202,MATCH($B618,'Items'!$A$3:$A$202,0)),""))</f>
        <v/>
      </c>
      <c r="D618" s="4" t="n"/>
      <c r="E618" s="4" t="n"/>
      <c r="F618" s="6" t="n"/>
      <c r="G618" s="4" t="n"/>
      <c r="H618" s="4" t="n"/>
      <c r="I618" s="4" t="n"/>
      <c r="J618" s="4" t="n"/>
    </row>
    <row r="619">
      <c r="A619" s="5" t="n"/>
      <c r="B619" s="4" t="n"/>
      <c r="C619" s="8">
        <f>IF($B619="","",IFERROR(INDEX('Items'!$B$3:$B$202,MATCH($B619,'Items'!$A$3:$A$202,0)),""))</f>
        <v/>
      </c>
      <c r="D619" s="4" t="n"/>
      <c r="E619" s="4" t="n"/>
      <c r="F619" s="6" t="n"/>
      <c r="G619" s="4" t="n"/>
      <c r="H619" s="4" t="n"/>
      <c r="I619" s="4" t="n"/>
      <c r="J619" s="4" t="n"/>
    </row>
    <row r="620">
      <c r="A620" s="5" t="n"/>
      <c r="B620" s="4" t="n"/>
      <c r="C620" s="8">
        <f>IF($B620="","",IFERROR(INDEX('Items'!$B$3:$B$202,MATCH($B620,'Items'!$A$3:$A$202,0)),""))</f>
        <v/>
      </c>
      <c r="D620" s="4" t="n"/>
      <c r="E620" s="4" t="n"/>
      <c r="F620" s="6" t="n"/>
      <c r="G620" s="4" t="n"/>
      <c r="H620" s="4" t="n"/>
      <c r="I620" s="4" t="n"/>
      <c r="J620" s="4" t="n"/>
    </row>
    <row r="621">
      <c r="A621" s="5" t="n"/>
      <c r="B621" s="4" t="n"/>
      <c r="C621" s="8">
        <f>IF($B621="","",IFERROR(INDEX('Items'!$B$3:$B$202,MATCH($B621,'Items'!$A$3:$A$202,0)),""))</f>
        <v/>
      </c>
      <c r="D621" s="4" t="n"/>
      <c r="E621" s="4" t="n"/>
      <c r="F621" s="6" t="n"/>
      <c r="G621" s="4" t="n"/>
      <c r="H621" s="4" t="n"/>
      <c r="I621" s="4" t="n"/>
      <c r="J621" s="4" t="n"/>
    </row>
    <row r="622">
      <c r="A622" s="5" t="n"/>
      <c r="B622" s="4" t="n"/>
      <c r="C622" s="8">
        <f>IF($B622="","",IFERROR(INDEX('Items'!$B$3:$B$202,MATCH($B622,'Items'!$A$3:$A$202,0)),""))</f>
        <v/>
      </c>
      <c r="D622" s="4" t="n"/>
      <c r="E622" s="4" t="n"/>
      <c r="F622" s="6" t="n"/>
      <c r="G622" s="4" t="n"/>
      <c r="H622" s="4" t="n"/>
      <c r="I622" s="4" t="n"/>
      <c r="J622" s="4" t="n"/>
    </row>
    <row r="623">
      <c r="A623" s="5" t="n"/>
      <c r="B623" s="4" t="n"/>
      <c r="C623" s="8">
        <f>IF($B623="","",IFERROR(INDEX('Items'!$B$3:$B$202,MATCH($B623,'Items'!$A$3:$A$202,0)),""))</f>
        <v/>
      </c>
      <c r="D623" s="4" t="n"/>
      <c r="E623" s="4" t="n"/>
      <c r="F623" s="6" t="n"/>
      <c r="G623" s="4" t="n"/>
      <c r="H623" s="4" t="n"/>
      <c r="I623" s="4" t="n"/>
      <c r="J623" s="4" t="n"/>
    </row>
    <row r="624">
      <c r="A624" s="5" t="n"/>
      <c r="B624" s="4" t="n"/>
      <c r="C624" s="8">
        <f>IF($B624="","",IFERROR(INDEX('Items'!$B$3:$B$202,MATCH($B624,'Items'!$A$3:$A$202,0)),""))</f>
        <v/>
      </c>
      <c r="D624" s="4" t="n"/>
      <c r="E624" s="4" t="n"/>
      <c r="F624" s="6" t="n"/>
      <c r="G624" s="4" t="n"/>
      <c r="H624" s="4" t="n"/>
      <c r="I624" s="4" t="n"/>
      <c r="J624" s="4" t="n"/>
    </row>
    <row r="625">
      <c r="A625" s="5" t="n"/>
      <c r="B625" s="4" t="n"/>
      <c r="C625" s="8">
        <f>IF($B625="","",IFERROR(INDEX('Items'!$B$3:$B$202,MATCH($B625,'Items'!$A$3:$A$202,0)),""))</f>
        <v/>
      </c>
      <c r="D625" s="4" t="n"/>
      <c r="E625" s="4" t="n"/>
      <c r="F625" s="6" t="n"/>
      <c r="G625" s="4" t="n"/>
      <c r="H625" s="4" t="n"/>
      <c r="I625" s="4" t="n"/>
      <c r="J625" s="4" t="n"/>
    </row>
    <row r="626">
      <c r="A626" s="5" t="n"/>
      <c r="B626" s="4" t="n"/>
      <c r="C626" s="8">
        <f>IF($B626="","",IFERROR(INDEX('Items'!$B$3:$B$202,MATCH($B626,'Items'!$A$3:$A$202,0)),""))</f>
        <v/>
      </c>
      <c r="D626" s="4" t="n"/>
      <c r="E626" s="4" t="n"/>
      <c r="F626" s="6" t="n"/>
      <c r="G626" s="4" t="n"/>
      <c r="H626" s="4" t="n"/>
      <c r="I626" s="4" t="n"/>
      <c r="J626" s="4" t="n"/>
    </row>
    <row r="627">
      <c r="A627" s="5" t="n"/>
      <c r="B627" s="4" t="n"/>
      <c r="C627" s="8">
        <f>IF($B627="","",IFERROR(INDEX('Items'!$B$3:$B$202,MATCH($B627,'Items'!$A$3:$A$202,0)),""))</f>
        <v/>
      </c>
      <c r="D627" s="4" t="n"/>
      <c r="E627" s="4" t="n"/>
      <c r="F627" s="6" t="n"/>
      <c r="G627" s="4" t="n"/>
      <c r="H627" s="4" t="n"/>
      <c r="I627" s="4" t="n"/>
      <c r="J627" s="4" t="n"/>
    </row>
    <row r="628">
      <c r="A628" s="5" t="n"/>
      <c r="B628" s="4" t="n"/>
      <c r="C628" s="8">
        <f>IF($B628="","",IFERROR(INDEX('Items'!$B$3:$B$202,MATCH($B628,'Items'!$A$3:$A$202,0)),""))</f>
        <v/>
      </c>
      <c r="D628" s="4" t="n"/>
      <c r="E628" s="4" t="n"/>
      <c r="F628" s="6" t="n"/>
      <c r="G628" s="4" t="n"/>
      <c r="H628" s="4" t="n"/>
      <c r="I628" s="4" t="n"/>
      <c r="J628" s="4" t="n"/>
    </row>
    <row r="629">
      <c r="A629" s="5" t="n"/>
      <c r="B629" s="4" t="n"/>
      <c r="C629" s="8">
        <f>IF($B629="","",IFERROR(INDEX('Items'!$B$3:$B$202,MATCH($B629,'Items'!$A$3:$A$202,0)),""))</f>
        <v/>
      </c>
      <c r="D629" s="4" t="n"/>
      <c r="E629" s="4" t="n"/>
      <c r="F629" s="6" t="n"/>
      <c r="G629" s="4" t="n"/>
      <c r="H629" s="4" t="n"/>
      <c r="I629" s="4" t="n"/>
      <c r="J629" s="4" t="n"/>
    </row>
    <row r="630">
      <c r="A630" s="5" t="n"/>
      <c r="B630" s="4" t="n"/>
      <c r="C630" s="8">
        <f>IF($B630="","",IFERROR(INDEX('Items'!$B$3:$B$202,MATCH($B630,'Items'!$A$3:$A$202,0)),""))</f>
        <v/>
      </c>
      <c r="D630" s="4" t="n"/>
      <c r="E630" s="4" t="n"/>
      <c r="F630" s="6" t="n"/>
      <c r="G630" s="4" t="n"/>
      <c r="H630" s="4" t="n"/>
      <c r="I630" s="4" t="n"/>
      <c r="J630" s="4" t="n"/>
    </row>
    <row r="631">
      <c r="A631" s="5" t="n"/>
      <c r="B631" s="4" t="n"/>
      <c r="C631" s="8">
        <f>IF($B631="","",IFERROR(INDEX('Items'!$B$3:$B$202,MATCH($B631,'Items'!$A$3:$A$202,0)),""))</f>
        <v/>
      </c>
      <c r="D631" s="4" t="n"/>
      <c r="E631" s="4" t="n"/>
      <c r="F631" s="6" t="n"/>
      <c r="G631" s="4" t="n"/>
      <c r="H631" s="4" t="n"/>
      <c r="I631" s="4" t="n"/>
      <c r="J631" s="4" t="n"/>
    </row>
    <row r="632">
      <c r="A632" s="5" t="n"/>
      <c r="B632" s="4" t="n"/>
      <c r="C632" s="8">
        <f>IF($B632="","",IFERROR(INDEX('Items'!$B$3:$B$202,MATCH($B632,'Items'!$A$3:$A$202,0)),""))</f>
        <v/>
      </c>
      <c r="D632" s="4" t="n"/>
      <c r="E632" s="4" t="n"/>
      <c r="F632" s="6" t="n"/>
      <c r="G632" s="4" t="n"/>
      <c r="H632" s="4" t="n"/>
      <c r="I632" s="4" t="n"/>
      <c r="J632" s="4" t="n"/>
    </row>
    <row r="633">
      <c r="A633" s="5" t="n"/>
      <c r="B633" s="4" t="n"/>
      <c r="C633" s="8">
        <f>IF($B633="","",IFERROR(INDEX('Items'!$B$3:$B$202,MATCH($B633,'Items'!$A$3:$A$202,0)),""))</f>
        <v/>
      </c>
      <c r="D633" s="4" t="n"/>
      <c r="E633" s="4" t="n"/>
      <c r="F633" s="6" t="n"/>
      <c r="G633" s="4" t="n"/>
      <c r="H633" s="4" t="n"/>
      <c r="I633" s="4" t="n"/>
      <c r="J633" s="4" t="n"/>
    </row>
    <row r="634">
      <c r="A634" s="5" t="n"/>
      <c r="B634" s="4" t="n"/>
      <c r="C634" s="8">
        <f>IF($B634="","",IFERROR(INDEX('Items'!$B$3:$B$202,MATCH($B634,'Items'!$A$3:$A$202,0)),""))</f>
        <v/>
      </c>
      <c r="D634" s="4" t="n"/>
      <c r="E634" s="4" t="n"/>
      <c r="F634" s="6" t="n"/>
      <c r="G634" s="4" t="n"/>
      <c r="H634" s="4" t="n"/>
      <c r="I634" s="4" t="n"/>
      <c r="J634" s="4" t="n"/>
    </row>
    <row r="635">
      <c r="A635" s="5" t="n"/>
      <c r="B635" s="4" t="n"/>
      <c r="C635" s="8">
        <f>IF($B635="","",IFERROR(INDEX('Items'!$B$3:$B$202,MATCH($B635,'Items'!$A$3:$A$202,0)),""))</f>
        <v/>
      </c>
      <c r="D635" s="4" t="n"/>
      <c r="E635" s="4" t="n"/>
      <c r="F635" s="6" t="n"/>
      <c r="G635" s="4" t="n"/>
      <c r="H635" s="4" t="n"/>
      <c r="I635" s="4" t="n"/>
      <c r="J635" s="4" t="n"/>
    </row>
    <row r="636">
      <c r="A636" s="5" t="n"/>
      <c r="B636" s="4" t="n"/>
      <c r="C636" s="8">
        <f>IF($B636="","",IFERROR(INDEX('Items'!$B$3:$B$202,MATCH($B636,'Items'!$A$3:$A$202,0)),""))</f>
        <v/>
      </c>
      <c r="D636" s="4" t="n"/>
      <c r="E636" s="4" t="n"/>
      <c r="F636" s="6" t="n"/>
      <c r="G636" s="4" t="n"/>
      <c r="H636" s="4" t="n"/>
      <c r="I636" s="4" t="n"/>
      <c r="J636" s="4" t="n"/>
    </row>
    <row r="637">
      <c r="A637" s="5" t="n"/>
      <c r="B637" s="4" t="n"/>
      <c r="C637" s="8">
        <f>IF($B637="","",IFERROR(INDEX('Items'!$B$3:$B$202,MATCH($B637,'Items'!$A$3:$A$202,0)),""))</f>
        <v/>
      </c>
      <c r="D637" s="4" t="n"/>
      <c r="E637" s="4" t="n"/>
      <c r="F637" s="6" t="n"/>
      <c r="G637" s="4" t="n"/>
      <c r="H637" s="4" t="n"/>
      <c r="I637" s="4" t="n"/>
      <c r="J637" s="4" t="n"/>
    </row>
    <row r="638">
      <c r="A638" s="5" t="n"/>
      <c r="B638" s="4" t="n"/>
      <c r="C638" s="8">
        <f>IF($B638="","",IFERROR(INDEX('Items'!$B$3:$B$202,MATCH($B638,'Items'!$A$3:$A$202,0)),""))</f>
        <v/>
      </c>
      <c r="D638" s="4" t="n"/>
      <c r="E638" s="4" t="n"/>
      <c r="F638" s="6" t="n"/>
      <c r="G638" s="4" t="n"/>
      <c r="H638" s="4" t="n"/>
      <c r="I638" s="4" t="n"/>
      <c r="J638" s="4" t="n"/>
    </row>
    <row r="639">
      <c r="A639" s="5" t="n"/>
      <c r="B639" s="4" t="n"/>
      <c r="C639" s="8">
        <f>IF($B639="","",IFERROR(INDEX('Items'!$B$3:$B$202,MATCH($B639,'Items'!$A$3:$A$202,0)),""))</f>
        <v/>
      </c>
      <c r="D639" s="4" t="n"/>
      <c r="E639" s="4" t="n"/>
      <c r="F639" s="6" t="n"/>
      <c r="G639" s="4" t="n"/>
      <c r="H639" s="4" t="n"/>
      <c r="I639" s="4" t="n"/>
      <c r="J639" s="4" t="n"/>
    </row>
    <row r="640">
      <c r="A640" s="5" t="n"/>
      <c r="B640" s="4" t="n"/>
      <c r="C640" s="8">
        <f>IF($B640="","",IFERROR(INDEX('Items'!$B$3:$B$202,MATCH($B640,'Items'!$A$3:$A$202,0)),""))</f>
        <v/>
      </c>
      <c r="D640" s="4" t="n"/>
      <c r="E640" s="4" t="n"/>
      <c r="F640" s="6" t="n"/>
      <c r="G640" s="4" t="n"/>
      <c r="H640" s="4" t="n"/>
      <c r="I640" s="4" t="n"/>
      <c r="J640" s="4" t="n"/>
    </row>
    <row r="641">
      <c r="A641" s="5" t="n"/>
      <c r="B641" s="4" t="n"/>
      <c r="C641" s="8">
        <f>IF($B641="","",IFERROR(INDEX('Items'!$B$3:$B$202,MATCH($B641,'Items'!$A$3:$A$202,0)),""))</f>
        <v/>
      </c>
      <c r="D641" s="4" t="n"/>
      <c r="E641" s="4" t="n"/>
      <c r="F641" s="6" t="n"/>
      <c r="G641" s="4" t="n"/>
      <c r="H641" s="4" t="n"/>
      <c r="I641" s="4" t="n"/>
      <c r="J641" s="4" t="n"/>
    </row>
    <row r="642">
      <c r="A642" s="5" t="n"/>
      <c r="B642" s="4" t="n"/>
      <c r="C642" s="8">
        <f>IF($B642="","",IFERROR(INDEX('Items'!$B$3:$B$202,MATCH($B642,'Items'!$A$3:$A$202,0)),""))</f>
        <v/>
      </c>
      <c r="D642" s="4" t="n"/>
      <c r="E642" s="4" t="n"/>
      <c r="F642" s="6" t="n"/>
      <c r="G642" s="4" t="n"/>
      <c r="H642" s="4" t="n"/>
      <c r="I642" s="4" t="n"/>
      <c r="J642" s="4" t="n"/>
    </row>
    <row r="643">
      <c r="A643" s="5" t="n"/>
      <c r="B643" s="4" t="n"/>
      <c r="C643" s="8">
        <f>IF($B643="","",IFERROR(INDEX('Items'!$B$3:$B$202,MATCH($B643,'Items'!$A$3:$A$202,0)),""))</f>
        <v/>
      </c>
      <c r="D643" s="4" t="n"/>
      <c r="E643" s="4" t="n"/>
      <c r="F643" s="6" t="n"/>
      <c r="G643" s="4" t="n"/>
      <c r="H643" s="4" t="n"/>
      <c r="I643" s="4" t="n"/>
      <c r="J643" s="4" t="n"/>
    </row>
    <row r="644">
      <c r="A644" s="5" t="n"/>
      <c r="B644" s="4" t="n"/>
      <c r="C644" s="8">
        <f>IF($B644="","",IFERROR(INDEX('Items'!$B$3:$B$202,MATCH($B644,'Items'!$A$3:$A$202,0)),""))</f>
        <v/>
      </c>
      <c r="D644" s="4" t="n"/>
      <c r="E644" s="4" t="n"/>
      <c r="F644" s="6" t="n"/>
      <c r="G644" s="4" t="n"/>
      <c r="H644" s="4" t="n"/>
      <c r="I644" s="4" t="n"/>
      <c r="J644" s="4" t="n"/>
    </row>
    <row r="645">
      <c r="A645" s="5" t="n"/>
      <c r="B645" s="4" t="n"/>
      <c r="C645" s="8">
        <f>IF($B645="","",IFERROR(INDEX('Items'!$B$3:$B$202,MATCH($B645,'Items'!$A$3:$A$202,0)),""))</f>
        <v/>
      </c>
      <c r="D645" s="4" t="n"/>
      <c r="E645" s="4" t="n"/>
      <c r="F645" s="6" t="n"/>
      <c r="G645" s="4" t="n"/>
      <c r="H645" s="4" t="n"/>
      <c r="I645" s="4" t="n"/>
      <c r="J645" s="4" t="n"/>
    </row>
    <row r="646">
      <c r="A646" s="5" t="n"/>
      <c r="B646" s="4" t="n"/>
      <c r="C646" s="8">
        <f>IF($B646="","",IFERROR(INDEX('Items'!$B$3:$B$202,MATCH($B646,'Items'!$A$3:$A$202,0)),""))</f>
        <v/>
      </c>
      <c r="D646" s="4" t="n"/>
      <c r="E646" s="4" t="n"/>
      <c r="F646" s="6" t="n"/>
      <c r="G646" s="4" t="n"/>
      <c r="H646" s="4" t="n"/>
      <c r="I646" s="4" t="n"/>
      <c r="J646" s="4" t="n"/>
    </row>
    <row r="647">
      <c r="A647" s="5" t="n"/>
      <c r="B647" s="4" t="n"/>
      <c r="C647" s="8">
        <f>IF($B647="","",IFERROR(INDEX('Items'!$B$3:$B$202,MATCH($B647,'Items'!$A$3:$A$202,0)),""))</f>
        <v/>
      </c>
      <c r="D647" s="4" t="n"/>
      <c r="E647" s="4" t="n"/>
      <c r="F647" s="6" t="n"/>
      <c r="G647" s="4" t="n"/>
      <c r="H647" s="4" t="n"/>
      <c r="I647" s="4" t="n"/>
      <c r="J647" s="4" t="n"/>
    </row>
    <row r="648">
      <c r="A648" s="5" t="n"/>
      <c r="B648" s="4" t="n"/>
      <c r="C648" s="8">
        <f>IF($B648="","",IFERROR(INDEX('Items'!$B$3:$B$202,MATCH($B648,'Items'!$A$3:$A$202,0)),""))</f>
        <v/>
      </c>
      <c r="D648" s="4" t="n"/>
      <c r="E648" s="4" t="n"/>
      <c r="F648" s="6" t="n"/>
      <c r="G648" s="4" t="n"/>
      <c r="H648" s="4" t="n"/>
      <c r="I648" s="4" t="n"/>
      <c r="J648" s="4" t="n"/>
    </row>
    <row r="649">
      <c r="A649" s="5" t="n"/>
      <c r="B649" s="4" t="n"/>
      <c r="C649" s="8">
        <f>IF($B649="","",IFERROR(INDEX('Items'!$B$3:$B$202,MATCH($B649,'Items'!$A$3:$A$202,0)),""))</f>
        <v/>
      </c>
      <c r="D649" s="4" t="n"/>
      <c r="E649" s="4" t="n"/>
      <c r="F649" s="6" t="n"/>
      <c r="G649" s="4" t="n"/>
      <c r="H649" s="4" t="n"/>
      <c r="I649" s="4" t="n"/>
      <c r="J649" s="4" t="n"/>
    </row>
    <row r="650">
      <c r="A650" s="5" t="n"/>
      <c r="B650" s="4" t="n"/>
      <c r="C650" s="8">
        <f>IF($B650="","",IFERROR(INDEX('Items'!$B$3:$B$202,MATCH($B650,'Items'!$A$3:$A$202,0)),""))</f>
        <v/>
      </c>
      <c r="D650" s="4" t="n"/>
      <c r="E650" s="4" t="n"/>
      <c r="F650" s="6" t="n"/>
      <c r="G650" s="4" t="n"/>
      <c r="H650" s="4" t="n"/>
      <c r="I650" s="4" t="n"/>
      <c r="J650" s="4" t="n"/>
    </row>
    <row r="651">
      <c r="A651" s="5" t="n"/>
      <c r="B651" s="4" t="n"/>
      <c r="C651" s="8">
        <f>IF($B651="","",IFERROR(INDEX('Items'!$B$3:$B$202,MATCH($B651,'Items'!$A$3:$A$202,0)),""))</f>
        <v/>
      </c>
      <c r="D651" s="4" t="n"/>
      <c r="E651" s="4" t="n"/>
      <c r="F651" s="6" t="n"/>
      <c r="G651" s="4" t="n"/>
      <c r="H651" s="4" t="n"/>
      <c r="I651" s="4" t="n"/>
      <c r="J651" s="4" t="n"/>
    </row>
    <row r="652">
      <c r="A652" s="5" t="n"/>
      <c r="B652" s="4" t="n"/>
      <c r="C652" s="8">
        <f>IF($B652="","",IFERROR(INDEX('Items'!$B$3:$B$202,MATCH($B652,'Items'!$A$3:$A$202,0)),""))</f>
        <v/>
      </c>
      <c r="D652" s="4" t="n"/>
      <c r="E652" s="4" t="n"/>
      <c r="F652" s="6" t="n"/>
      <c r="G652" s="4" t="n"/>
      <c r="H652" s="4" t="n"/>
      <c r="I652" s="4" t="n"/>
      <c r="J652" s="4" t="n"/>
    </row>
    <row r="653">
      <c r="A653" s="5" t="n"/>
      <c r="B653" s="4" t="n"/>
      <c r="C653" s="8">
        <f>IF($B653="","",IFERROR(INDEX('Items'!$B$3:$B$202,MATCH($B653,'Items'!$A$3:$A$202,0)),""))</f>
        <v/>
      </c>
      <c r="D653" s="4" t="n"/>
      <c r="E653" s="4" t="n"/>
      <c r="F653" s="6" t="n"/>
      <c r="G653" s="4" t="n"/>
      <c r="H653" s="4" t="n"/>
      <c r="I653" s="4" t="n"/>
      <c r="J653" s="4" t="n"/>
    </row>
    <row r="654">
      <c r="A654" s="5" t="n"/>
      <c r="B654" s="4" t="n"/>
      <c r="C654" s="8">
        <f>IF($B654="","",IFERROR(INDEX('Items'!$B$3:$B$202,MATCH($B654,'Items'!$A$3:$A$202,0)),""))</f>
        <v/>
      </c>
      <c r="D654" s="4" t="n"/>
      <c r="E654" s="4" t="n"/>
      <c r="F654" s="6" t="n"/>
      <c r="G654" s="4" t="n"/>
      <c r="H654" s="4" t="n"/>
      <c r="I654" s="4" t="n"/>
      <c r="J654" s="4" t="n"/>
    </row>
    <row r="655">
      <c r="A655" s="5" t="n"/>
      <c r="B655" s="4" t="n"/>
      <c r="C655" s="8">
        <f>IF($B655="","",IFERROR(INDEX('Items'!$B$3:$B$202,MATCH($B655,'Items'!$A$3:$A$202,0)),""))</f>
        <v/>
      </c>
      <c r="D655" s="4" t="n"/>
      <c r="E655" s="4" t="n"/>
      <c r="F655" s="6" t="n"/>
      <c r="G655" s="4" t="n"/>
      <c r="H655" s="4" t="n"/>
      <c r="I655" s="4" t="n"/>
      <c r="J655" s="4" t="n"/>
    </row>
    <row r="656">
      <c r="A656" s="5" t="n"/>
      <c r="B656" s="4" t="n"/>
      <c r="C656" s="8">
        <f>IF($B656="","",IFERROR(INDEX('Items'!$B$3:$B$202,MATCH($B656,'Items'!$A$3:$A$202,0)),""))</f>
        <v/>
      </c>
      <c r="D656" s="4" t="n"/>
      <c r="E656" s="4" t="n"/>
      <c r="F656" s="6" t="n"/>
      <c r="G656" s="4" t="n"/>
      <c r="H656" s="4" t="n"/>
      <c r="I656" s="4" t="n"/>
      <c r="J656" s="4" t="n"/>
    </row>
    <row r="657">
      <c r="A657" s="5" t="n"/>
      <c r="B657" s="4" t="n"/>
      <c r="C657" s="8">
        <f>IF($B657="","",IFERROR(INDEX('Items'!$B$3:$B$202,MATCH($B657,'Items'!$A$3:$A$202,0)),""))</f>
        <v/>
      </c>
      <c r="D657" s="4" t="n"/>
      <c r="E657" s="4" t="n"/>
      <c r="F657" s="6" t="n"/>
      <c r="G657" s="4" t="n"/>
      <c r="H657" s="4" t="n"/>
      <c r="I657" s="4" t="n"/>
      <c r="J657" s="4" t="n"/>
    </row>
    <row r="658">
      <c r="A658" s="5" t="n"/>
      <c r="B658" s="4" t="n"/>
      <c r="C658" s="8">
        <f>IF($B658="","",IFERROR(INDEX('Items'!$B$3:$B$202,MATCH($B658,'Items'!$A$3:$A$202,0)),""))</f>
        <v/>
      </c>
      <c r="D658" s="4" t="n"/>
      <c r="E658" s="4" t="n"/>
      <c r="F658" s="6" t="n"/>
      <c r="G658" s="4" t="n"/>
      <c r="H658" s="4" t="n"/>
      <c r="I658" s="4" t="n"/>
      <c r="J658" s="4" t="n"/>
    </row>
    <row r="659">
      <c r="A659" s="5" t="n"/>
      <c r="B659" s="4" t="n"/>
      <c r="C659" s="8">
        <f>IF($B659="","",IFERROR(INDEX('Items'!$B$3:$B$202,MATCH($B659,'Items'!$A$3:$A$202,0)),""))</f>
        <v/>
      </c>
      <c r="D659" s="4" t="n"/>
      <c r="E659" s="4" t="n"/>
      <c r="F659" s="6" t="n"/>
      <c r="G659" s="4" t="n"/>
      <c r="H659" s="4" t="n"/>
      <c r="I659" s="4" t="n"/>
      <c r="J659" s="4" t="n"/>
    </row>
    <row r="660">
      <c r="A660" s="5" t="n"/>
      <c r="B660" s="4" t="n"/>
      <c r="C660" s="8">
        <f>IF($B660="","",IFERROR(INDEX('Items'!$B$3:$B$202,MATCH($B660,'Items'!$A$3:$A$202,0)),""))</f>
        <v/>
      </c>
      <c r="D660" s="4" t="n"/>
      <c r="E660" s="4" t="n"/>
      <c r="F660" s="6" t="n"/>
      <c r="G660" s="4" t="n"/>
      <c r="H660" s="4" t="n"/>
      <c r="I660" s="4" t="n"/>
      <c r="J660" s="4" t="n"/>
    </row>
    <row r="661">
      <c r="A661" s="5" t="n"/>
      <c r="B661" s="4" t="n"/>
      <c r="C661" s="8">
        <f>IF($B661="","",IFERROR(INDEX('Items'!$B$3:$B$202,MATCH($B661,'Items'!$A$3:$A$202,0)),""))</f>
        <v/>
      </c>
      <c r="D661" s="4" t="n"/>
      <c r="E661" s="4" t="n"/>
      <c r="F661" s="6" t="n"/>
      <c r="G661" s="4" t="n"/>
      <c r="H661" s="4" t="n"/>
      <c r="I661" s="4" t="n"/>
      <c r="J661" s="4" t="n"/>
    </row>
    <row r="662">
      <c r="A662" s="5" t="n"/>
      <c r="B662" s="4" t="n"/>
      <c r="C662" s="8">
        <f>IF($B662="","",IFERROR(INDEX('Items'!$B$3:$B$202,MATCH($B662,'Items'!$A$3:$A$202,0)),""))</f>
        <v/>
      </c>
      <c r="D662" s="4" t="n"/>
      <c r="E662" s="4" t="n"/>
      <c r="F662" s="6" t="n"/>
      <c r="G662" s="4" t="n"/>
      <c r="H662" s="4" t="n"/>
      <c r="I662" s="4" t="n"/>
      <c r="J662" s="4" t="n"/>
    </row>
    <row r="663">
      <c r="A663" s="5" t="n"/>
      <c r="B663" s="4" t="n"/>
      <c r="C663" s="8">
        <f>IF($B663="","",IFERROR(INDEX('Items'!$B$3:$B$202,MATCH($B663,'Items'!$A$3:$A$202,0)),""))</f>
        <v/>
      </c>
      <c r="D663" s="4" t="n"/>
      <c r="E663" s="4" t="n"/>
      <c r="F663" s="6" t="n"/>
      <c r="G663" s="4" t="n"/>
      <c r="H663" s="4" t="n"/>
      <c r="I663" s="4" t="n"/>
      <c r="J663" s="4" t="n"/>
    </row>
    <row r="664">
      <c r="A664" s="5" t="n"/>
      <c r="B664" s="4" t="n"/>
      <c r="C664" s="8">
        <f>IF($B664="","",IFERROR(INDEX('Items'!$B$3:$B$202,MATCH($B664,'Items'!$A$3:$A$202,0)),""))</f>
        <v/>
      </c>
      <c r="D664" s="4" t="n"/>
      <c r="E664" s="4" t="n"/>
      <c r="F664" s="6" t="n"/>
      <c r="G664" s="4" t="n"/>
      <c r="H664" s="4" t="n"/>
      <c r="I664" s="4" t="n"/>
      <c r="J664" s="4" t="n"/>
    </row>
    <row r="665">
      <c r="A665" s="5" t="n"/>
      <c r="B665" s="4" t="n"/>
      <c r="C665" s="8">
        <f>IF($B665="","",IFERROR(INDEX('Items'!$B$3:$B$202,MATCH($B665,'Items'!$A$3:$A$202,0)),""))</f>
        <v/>
      </c>
      <c r="D665" s="4" t="n"/>
      <c r="E665" s="4" t="n"/>
      <c r="F665" s="6" t="n"/>
      <c r="G665" s="4" t="n"/>
      <c r="H665" s="4" t="n"/>
      <c r="I665" s="4" t="n"/>
      <c r="J665" s="4" t="n"/>
    </row>
    <row r="666">
      <c r="A666" s="5" t="n"/>
      <c r="B666" s="4" t="n"/>
      <c r="C666" s="8">
        <f>IF($B666="","",IFERROR(INDEX('Items'!$B$3:$B$202,MATCH($B666,'Items'!$A$3:$A$202,0)),""))</f>
        <v/>
      </c>
      <c r="D666" s="4" t="n"/>
      <c r="E666" s="4" t="n"/>
      <c r="F666" s="6" t="n"/>
      <c r="G666" s="4" t="n"/>
      <c r="H666" s="4" t="n"/>
      <c r="I666" s="4" t="n"/>
      <c r="J666" s="4" t="n"/>
    </row>
    <row r="667">
      <c r="A667" s="5" t="n"/>
      <c r="B667" s="4" t="n"/>
      <c r="C667" s="8">
        <f>IF($B667="","",IFERROR(INDEX('Items'!$B$3:$B$202,MATCH($B667,'Items'!$A$3:$A$202,0)),""))</f>
        <v/>
      </c>
      <c r="D667" s="4" t="n"/>
      <c r="E667" s="4" t="n"/>
      <c r="F667" s="6" t="n"/>
      <c r="G667" s="4" t="n"/>
      <c r="H667" s="4" t="n"/>
      <c r="I667" s="4" t="n"/>
      <c r="J667" s="4" t="n"/>
    </row>
    <row r="668">
      <c r="A668" s="5" t="n"/>
      <c r="B668" s="4" t="n"/>
      <c r="C668" s="8">
        <f>IF($B668="","",IFERROR(INDEX('Items'!$B$3:$B$202,MATCH($B668,'Items'!$A$3:$A$202,0)),""))</f>
        <v/>
      </c>
      <c r="D668" s="4" t="n"/>
      <c r="E668" s="4" t="n"/>
      <c r="F668" s="6" t="n"/>
      <c r="G668" s="4" t="n"/>
      <c r="H668" s="4" t="n"/>
      <c r="I668" s="4" t="n"/>
      <c r="J668" s="4" t="n"/>
    </row>
    <row r="669">
      <c r="A669" s="5" t="n"/>
      <c r="B669" s="4" t="n"/>
      <c r="C669" s="8">
        <f>IF($B669="","",IFERROR(INDEX('Items'!$B$3:$B$202,MATCH($B669,'Items'!$A$3:$A$202,0)),""))</f>
        <v/>
      </c>
      <c r="D669" s="4" t="n"/>
      <c r="E669" s="4" t="n"/>
      <c r="F669" s="6" t="n"/>
      <c r="G669" s="4" t="n"/>
      <c r="H669" s="4" t="n"/>
      <c r="I669" s="4" t="n"/>
      <c r="J669" s="4" t="n"/>
    </row>
    <row r="670">
      <c r="A670" s="5" t="n"/>
      <c r="B670" s="4" t="n"/>
      <c r="C670" s="8">
        <f>IF($B670="","",IFERROR(INDEX('Items'!$B$3:$B$202,MATCH($B670,'Items'!$A$3:$A$202,0)),""))</f>
        <v/>
      </c>
      <c r="D670" s="4" t="n"/>
      <c r="E670" s="4" t="n"/>
      <c r="F670" s="6" t="n"/>
      <c r="G670" s="4" t="n"/>
      <c r="H670" s="4" t="n"/>
      <c r="I670" s="4" t="n"/>
      <c r="J670" s="4" t="n"/>
    </row>
    <row r="671">
      <c r="A671" s="5" t="n"/>
      <c r="B671" s="4" t="n"/>
      <c r="C671" s="8">
        <f>IF($B671="","",IFERROR(INDEX('Items'!$B$3:$B$202,MATCH($B671,'Items'!$A$3:$A$202,0)),""))</f>
        <v/>
      </c>
      <c r="D671" s="4" t="n"/>
      <c r="E671" s="4" t="n"/>
      <c r="F671" s="6" t="n"/>
      <c r="G671" s="4" t="n"/>
      <c r="H671" s="4" t="n"/>
      <c r="I671" s="4" t="n"/>
      <c r="J671" s="4" t="n"/>
    </row>
    <row r="672">
      <c r="A672" s="5" t="n"/>
      <c r="B672" s="4" t="n"/>
      <c r="C672" s="8">
        <f>IF($B672="","",IFERROR(INDEX('Items'!$B$3:$B$202,MATCH($B672,'Items'!$A$3:$A$202,0)),""))</f>
        <v/>
      </c>
      <c r="D672" s="4" t="n"/>
      <c r="E672" s="4" t="n"/>
      <c r="F672" s="6" t="n"/>
      <c r="G672" s="4" t="n"/>
      <c r="H672" s="4" t="n"/>
      <c r="I672" s="4" t="n"/>
      <c r="J672" s="4" t="n"/>
    </row>
    <row r="673">
      <c r="A673" s="5" t="n"/>
      <c r="B673" s="4" t="n"/>
      <c r="C673" s="8">
        <f>IF($B673="","",IFERROR(INDEX('Items'!$B$3:$B$202,MATCH($B673,'Items'!$A$3:$A$202,0)),""))</f>
        <v/>
      </c>
      <c r="D673" s="4" t="n"/>
      <c r="E673" s="4" t="n"/>
      <c r="F673" s="6" t="n"/>
      <c r="G673" s="4" t="n"/>
      <c r="H673" s="4" t="n"/>
      <c r="I673" s="4" t="n"/>
      <c r="J673" s="4" t="n"/>
    </row>
    <row r="674">
      <c r="A674" s="5" t="n"/>
      <c r="B674" s="4" t="n"/>
      <c r="C674" s="8">
        <f>IF($B674="","",IFERROR(INDEX('Items'!$B$3:$B$202,MATCH($B674,'Items'!$A$3:$A$202,0)),""))</f>
        <v/>
      </c>
      <c r="D674" s="4" t="n"/>
      <c r="E674" s="4" t="n"/>
      <c r="F674" s="6" t="n"/>
      <c r="G674" s="4" t="n"/>
      <c r="H674" s="4" t="n"/>
      <c r="I674" s="4" t="n"/>
      <c r="J674" s="4" t="n"/>
    </row>
    <row r="675">
      <c r="A675" s="5" t="n"/>
      <c r="B675" s="4" t="n"/>
      <c r="C675" s="8">
        <f>IF($B675="","",IFERROR(INDEX('Items'!$B$3:$B$202,MATCH($B675,'Items'!$A$3:$A$202,0)),""))</f>
        <v/>
      </c>
      <c r="D675" s="4" t="n"/>
      <c r="E675" s="4" t="n"/>
      <c r="F675" s="6" t="n"/>
      <c r="G675" s="4" t="n"/>
      <c r="H675" s="4" t="n"/>
      <c r="I675" s="4" t="n"/>
      <c r="J675" s="4" t="n"/>
    </row>
    <row r="676">
      <c r="A676" s="5" t="n"/>
      <c r="B676" s="4" t="n"/>
      <c r="C676" s="8">
        <f>IF($B676="","",IFERROR(INDEX('Items'!$B$3:$B$202,MATCH($B676,'Items'!$A$3:$A$202,0)),""))</f>
        <v/>
      </c>
      <c r="D676" s="4" t="n"/>
      <c r="E676" s="4" t="n"/>
      <c r="F676" s="6" t="n"/>
      <c r="G676" s="4" t="n"/>
      <c r="H676" s="4" t="n"/>
      <c r="I676" s="4" t="n"/>
      <c r="J676" s="4" t="n"/>
    </row>
    <row r="677">
      <c r="A677" s="5" t="n"/>
      <c r="B677" s="4" t="n"/>
      <c r="C677" s="8">
        <f>IF($B677="","",IFERROR(INDEX('Items'!$B$3:$B$202,MATCH($B677,'Items'!$A$3:$A$202,0)),""))</f>
        <v/>
      </c>
      <c r="D677" s="4" t="n"/>
      <c r="E677" s="4" t="n"/>
      <c r="F677" s="6" t="n"/>
      <c r="G677" s="4" t="n"/>
      <c r="H677" s="4" t="n"/>
      <c r="I677" s="4" t="n"/>
      <c r="J677" s="4" t="n"/>
    </row>
    <row r="678">
      <c r="A678" s="5" t="n"/>
      <c r="B678" s="4" t="n"/>
      <c r="C678" s="8">
        <f>IF($B678="","",IFERROR(INDEX('Items'!$B$3:$B$202,MATCH($B678,'Items'!$A$3:$A$202,0)),""))</f>
        <v/>
      </c>
      <c r="D678" s="4" t="n"/>
      <c r="E678" s="4" t="n"/>
      <c r="F678" s="6" t="n"/>
      <c r="G678" s="4" t="n"/>
      <c r="H678" s="4" t="n"/>
      <c r="I678" s="4" t="n"/>
      <c r="J678" s="4" t="n"/>
    </row>
    <row r="679">
      <c r="A679" s="5" t="n"/>
      <c r="B679" s="4" t="n"/>
      <c r="C679" s="8">
        <f>IF($B679="","",IFERROR(INDEX('Items'!$B$3:$B$202,MATCH($B679,'Items'!$A$3:$A$202,0)),""))</f>
        <v/>
      </c>
      <c r="D679" s="4" t="n"/>
      <c r="E679" s="4" t="n"/>
      <c r="F679" s="6" t="n"/>
      <c r="G679" s="4" t="n"/>
      <c r="H679" s="4" t="n"/>
      <c r="I679" s="4" t="n"/>
      <c r="J679" s="4" t="n"/>
    </row>
    <row r="680">
      <c r="A680" s="5" t="n"/>
      <c r="B680" s="4" t="n"/>
      <c r="C680" s="8">
        <f>IF($B680="","",IFERROR(INDEX('Items'!$B$3:$B$202,MATCH($B680,'Items'!$A$3:$A$202,0)),""))</f>
        <v/>
      </c>
      <c r="D680" s="4" t="n"/>
      <c r="E680" s="4" t="n"/>
      <c r="F680" s="6" t="n"/>
      <c r="G680" s="4" t="n"/>
      <c r="H680" s="4" t="n"/>
      <c r="I680" s="4" t="n"/>
      <c r="J680" s="4" t="n"/>
    </row>
    <row r="681">
      <c r="A681" s="5" t="n"/>
      <c r="B681" s="4" t="n"/>
      <c r="C681" s="8">
        <f>IF($B681="","",IFERROR(INDEX('Items'!$B$3:$B$202,MATCH($B681,'Items'!$A$3:$A$202,0)),""))</f>
        <v/>
      </c>
      <c r="D681" s="4" t="n"/>
      <c r="E681" s="4" t="n"/>
      <c r="F681" s="6" t="n"/>
      <c r="G681" s="4" t="n"/>
      <c r="H681" s="4" t="n"/>
      <c r="I681" s="4" t="n"/>
      <c r="J681" s="4" t="n"/>
    </row>
    <row r="682">
      <c r="A682" s="5" t="n"/>
      <c r="B682" s="4" t="n"/>
      <c r="C682" s="8">
        <f>IF($B682="","",IFERROR(INDEX('Items'!$B$3:$B$202,MATCH($B682,'Items'!$A$3:$A$202,0)),""))</f>
        <v/>
      </c>
      <c r="D682" s="4" t="n"/>
      <c r="E682" s="4" t="n"/>
      <c r="F682" s="6" t="n"/>
      <c r="G682" s="4" t="n"/>
      <c r="H682" s="4" t="n"/>
      <c r="I682" s="4" t="n"/>
      <c r="J682" s="4" t="n"/>
    </row>
    <row r="683">
      <c r="A683" s="5" t="n"/>
      <c r="B683" s="4" t="n"/>
      <c r="C683" s="8">
        <f>IF($B683="","",IFERROR(INDEX('Items'!$B$3:$B$202,MATCH($B683,'Items'!$A$3:$A$202,0)),""))</f>
        <v/>
      </c>
      <c r="D683" s="4" t="n"/>
      <c r="E683" s="4" t="n"/>
      <c r="F683" s="6" t="n"/>
      <c r="G683" s="4" t="n"/>
      <c r="H683" s="4" t="n"/>
      <c r="I683" s="4" t="n"/>
      <c r="J683" s="4" t="n"/>
    </row>
    <row r="684">
      <c r="A684" s="5" t="n"/>
      <c r="B684" s="4" t="n"/>
      <c r="C684" s="8">
        <f>IF($B684="","",IFERROR(INDEX('Items'!$B$3:$B$202,MATCH($B684,'Items'!$A$3:$A$202,0)),""))</f>
        <v/>
      </c>
      <c r="D684" s="4" t="n"/>
      <c r="E684" s="4" t="n"/>
      <c r="F684" s="6" t="n"/>
      <c r="G684" s="4" t="n"/>
      <c r="H684" s="4" t="n"/>
      <c r="I684" s="4" t="n"/>
      <c r="J684" s="4" t="n"/>
    </row>
    <row r="685">
      <c r="A685" s="5" t="n"/>
      <c r="B685" s="4" t="n"/>
      <c r="C685" s="8">
        <f>IF($B685="","",IFERROR(INDEX('Items'!$B$3:$B$202,MATCH($B685,'Items'!$A$3:$A$202,0)),""))</f>
        <v/>
      </c>
      <c r="D685" s="4" t="n"/>
      <c r="E685" s="4" t="n"/>
      <c r="F685" s="6" t="n"/>
      <c r="G685" s="4" t="n"/>
      <c r="H685" s="4" t="n"/>
      <c r="I685" s="4" t="n"/>
      <c r="J685" s="4" t="n"/>
    </row>
    <row r="686">
      <c r="A686" s="5" t="n"/>
      <c r="B686" s="4" t="n"/>
      <c r="C686" s="8">
        <f>IF($B686="","",IFERROR(INDEX('Items'!$B$3:$B$202,MATCH($B686,'Items'!$A$3:$A$202,0)),""))</f>
        <v/>
      </c>
      <c r="D686" s="4" t="n"/>
      <c r="E686" s="4" t="n"/>
      <c r="F686" s="6" t="n"/>
      <c r="G686" s="4" t="n"/>
      <c r="H686" s="4" t="n"/>
      <c r="I686" s="4" t="n"/>
      <c r="J686" s="4" t="n"/>
    </row>
    <row r="687">
      <c r="A687" s="5" t="n"/>
      <c r="B687" s="4" t="n"/>
      <c r="C687" s="8">
        <f>IF($B687="","",IFERROR(INDEX('Items'!$B$3:$B$202,MATCH($B687,'Items'!$A$3:$A$202,0)),""))</f>
        <v/>
      </c>
      <c r="D687" s="4" t="n"/>
      <c r="E687" s="4" t="n"/>
      <c r="F687" s="6" t="n"/>
      <c r="G687" s="4" t="n"/>
      <c r="H687" s="4" t="n"/>
      <c r="I687" s="4" t="n"/>
      <c r="J687" s="4" t="n"/>
    </row>
    <row r="688">
      <c r="A688" s="5" t="n"/>
      <c r="B688" s="4" t="n"/>
      <c r="C688" s="8">
        <f>IF($B688="","",IFERROR(INDEX('Items'!$B$3:$B$202,MATCH($B688,'Items'!$A$3:$A$202,0)),""))</f>
        <v/>
      </c>
      <c r="D688" s="4" t="n"/>
      <c r="E688" s="4" t="n"/>
      <c r="F688" s="6" t="n"/>
      <c r="G688" s="4" t="n"/>
      <c r="H688" s="4" t="n"/>
      <c r="I688" s="4" t="n"/>
      <c r="J688" s="4" t="n"/>
    </row>
    <row r="689">
      <c r="A689" s="5" t="n"/>
      <c r="B689" s="4" t="n"/>
      <c r="C689" s="8">
        <f>IF($B689="","",IFERROR(INDEX('Items'!$B$3:$B$202,MATCH($B689,'Items'!$A$3:$A$202,0)),""))</f>
        <v/>
      </c>
      <c r="D689" s="4" t="n"/>
      <c r="E689" s="4" t="n"/>
      <c r="F689" s="6" t="n"/>
      <c r="G689" s="4" t="n"/>
      <c r="H689" s="4" t="n"/>
      <c r="I689" s="4" t="n"/>
      <c r="J689" s="4" t="n"/>
    </row>
    <row r="690">
      <c r="A690" s="5" t="n"/>
      <c r="B690" s="4" t="n"/>
      <c r="C690" s="8">
        <f>IF($B690="","",IFERROR(INDEX('Items'!$B$3:$B$202,MATCH($B690,'Items'!$A$3:$A$202,0)),""))</f>
        <v/>
      </c>
      <c r="D690" s="4" t="n"/>
      <c r="E690" s="4" t="n"/>
      <c r="F690" s="6" t="n"/>
      <c r="G690" s="4" t="n"/>
      <c r="H690" s="4" t="n"/>
      <c r="I690" s="4" t="n"/>
      <c r="J690" s="4" t="n"/>
    </row>
    <row r="691">
      <c r="A691" s="5" t="n"/>
      <c r="B691" s="4" t="n"/>
      <c r="C691" s="8">
        <f>IF($B691="","",IFERROR(INDEX('Items'!$B$3:$B$202,MATCH($B691,'Items'!$A$3:$A$202,0)),""))</f>
        <v/>
      </c>
      <c r="D691" s="4" t="n"/>
      <c r="E691" s="4" t="n"/>
      <c r="F691" s="6" t="n"/>
      <c r="G691" s="4" t="n"/>
      <c r="H691" s="4" t="n"/>
      <c r="I691" s="4" t="n"/>
      <c r="J691" s="4" t="n"/>
    </row>
    <row r="692">
      <c r="A692" s="5" t="n"/>
      <c r="B692" s="4" t="n"/>
      <c r="C692" s="8">
        <f>IF($B692="","",IFERROR(INDEX('Items'!$B$3:$B$202,MATCH($B692,'Items'!$A$3:$A$202,0)),""))</f>
        <v/>
      </c>
      <c r="D692" s="4" t="n"/>
      <c r="E692" s="4" t="n"/>
      <c r="F692" s="6" t="n"/>
      <c r="G692" s="4" t="n"/>
      <c r="H692" s="4" t="n"/>
      <c r="I692" s="4" t="n"/>
      <c r="J692" s="4" t="n"/>
    </row>
    <row r="693">
      <c r="A693" s="5" t="n"/>
      <c r="B693" s="4" t="n"/>
      <c r="C693" s="8">
        <f>IF($B693="","",IFERROR(INDEX('Items'!$B$3:$B$202,MATCH($B693,'Items'!$A$3:$A$202,0)),""))</f>
        <v/>
      </c>
      <c r="D693" s="4" t="n"/>
      <c r="E693" s="4" t="n"/>
      <c r="F693" s="6" t="n"/>
      <c r="G693" s="4" t="n"/>
      <c r="H693" s="4" t="n"/>
      <c r="I693" s="4" t="n"/>
      <c r="J693" s="4" t="n"/>
    </row>
    <row r="694">
      <c r="A694" s="5" t="n"/>
      <c r="B694" s="4" t="n"/>
      <c r="C694" s="8">
        <f>IF($B694="","",IFERROR(INDEX('Items'!$B$3:$B$202,MATCH($B694,'Items'!$A$3:$A$202,0)),""))</f>
        <v/>
      </c>
      <c r="D694" s="4" t="n"/>
      <c r="E694" s="4" t="n"/>
      <c r="F694" s="6" t="n"/>
      <c r="G694" s="4" t="n"/>
      <c r="H694" s="4" t="n"/>
      <c r="I694" s="4" t="n"/>
      <c r="J694" s="4" t="n"/>
    </row>
    <row r="695">
      <c r="A695" s="5" t="n"/>
      <c r="B695" s="4" t="n"/>
      <c r="C695" s="8">
        <f>IF($B695="","",IFERROR(INDEX('Items'!$B$3:$B$202,MATCH($B695,'Items'!$A$3:$A$202,0)),""))</f>
        <v/>
      </c>
      <c r="D695" s="4" t="n"/>
      <c r="E695" s="4" t="n"/>
      <c r="F695" s="6" t="n"/>
      <c r="G695" s="4" t="n"/>
      <c r="H695" s="4" t="n"/>
      <c r="I695" s="4" t="n"/>
      <c r="J695" s="4" t="n"/>
    </row>
    <row r="696">
      <c r="A696" s="5" t="n"/>
      <c r="B696" s="4" t="n"/>
      <c r="C696" s="8">
        <f>IF($B696="","",IFERROR(INDEX('Items'!$B$3:$B$202,MATCH($B696,'Items'!$A$3:$A$202,0)),""))</f>
        <v/>
      </c>
      <c r="D696" s="4" t="n"/>
      <c r="E696" s="4" t="n"/>
      <c r="F696" s="6" t="n"/>
      <c r="G696" s="4" t="n"/>
      <c r="H696" s="4" t="n"/>
      <c r="I696" s="4" t="n"/>
      <c r="J696" s="4" t="n"/>
    </row>
    <row r="697">
      <c r="A697" s="5" t="n"/>
      <c r="B697" s="4" t="n"/>
      <c r="C697" s="8">
        <f>IF($B697="","",IFERROR(INDEX('Items'!$B$3:$B$202,MATCH($B697,'Items'!$A$3:$A$202,0)),""))</f>
        <v/>
      </c>
      <c r="D697" s="4" t="n"/>
      <c r="E697" s="4" t="n"/>
      <c r="F697" s="6" t="n"/>
      <c r="G697" s="4" t="n"/>
      <c r="H697" s="4" t="n"/>
      <c r="I697" s="4" t="n"/>
      <c r="J697" s="4" t="n"/>
    </row>
    <row r="698">
      <c r="A698" s="5" t="n"/>
      <c r="B698" s="4" t="n"/>
      <c r="C698" s="8">
        <f>IF($B698="","",IFERROR(INDEX('Items'!$B$3:$B$202,MATCH($B698,'Items'!$A$3:$A$202,0)),""))</f>
        <v/>
      </c>
      <c r="D698" s="4" t="n"/>
      <c r="E698" s="4" t="n"/>
      <c r="F698" s="6" t="n"/>
      <c r="G698" s="4" t="n"/>
      <c r="H698" s="4" t="n"/>
      <c r="I698" s="4" t="n"/>
      <c r="J698" s="4" t="n"/>
    </row>
    <row r="699">
      <c r="A699" s="5" t="n"/>
      <c r="B699" s="4" t="n"/>
      <c r="C699" s="8">
        <f>IF($B699="","",IFERROR(INDEX('Items'!$B$3:$B$202,MATCH($B699,'Items'!$A$3:$A$202,0)),""))</f>
        <v/>
      </c>
      <c r="D699" s="4" t="n"/>
      <c r="E699" s="4" t="n"/>
      <c r="F699" s="6" t="n"/>
      <c r="G699" s="4" t="n"/>
      <c r="H699" s="4" t="n"/>
      <c r="I699" s="4" t="n"/>
      <c r="J699" s="4" t="n"/>
    </row>
    <row r="700">
      <c r="A700" s="5" t="n"/>
      <c r="B700" s="4" t="n"/>
      <c r="C700" s="8">
        <f>IF($B700="","",IFERROR(INDEX('Items'!$B$3:$B$202,MATCH($B700,'Items'!$A$3:$A$202,0)),""))</f>
        <v/>
      </c>
      <c r="D700" s="4" t="n"/>
      <c r="E700" s="4" t="n"/>
      <c r="F700" s="6" t="n"/>
      <c r="G700" s="4" t="n"/>
      <c r="H700" s="4" t="n"/>
      <c r="I700" s="4" t="n"/>
      <c r="J700" s="4" t="n"/>
    </row>
    <row r="701">
      <c r="A701" s="5" t="n"/>
      <c r="B701" s="4" t="n"/>
      <c r="C701" s="8">
        <f>IF($B701="","",IFERROR(INDEX('Items'!$B$3:$B$202,MATCH($B701,'Items'!$A$3:$A$202,0)),""))</f>
        <v/>
      </c>
      <c r="D701" s="4" t="n"/>
      <c r="E701" s="4" t="n"/>
      <c r="F701" s="6" t="n"/>
      <c r="G701" s="4" t="n"/>
      <c r="H701" s="4" t="n"/>
      <c r="I701" s="4" t="n"/>
      <c r="J701" s="4" t="n"/>
    </row>
    <row r="702">
      <c r="A702" s="5" t="n"/>
      <c r="B702" s="4" t="n"/>
      <c r="C702" s="8">
        <f>IF($B702="","",IFERROR(INDEX('Items'!$B$3:$B$202,MATCH($B702,'Items'!$A$3:$A$202,0)),""))</f>
        <v/>
      </c>
      <c r="D702" s="4" t="n"/>
      <c r="E702" s="4" t="n"/>
      <c r="F702" s="6" t="n"/>
      <c r="G702" s="4" t="n"/>
      <c r="H702" s="4" t="n"/>
      <c r="I702" s="4" t="n"/>
      <c r="J702" s="4" t="n"/>
    </row>
    <row r="703">
      <c r="A703" s="5" t="n"/>
      <c r="B703" s="4" t="n"/>
      <c r="C703" s="8">
        <f>IF($B703="","",IFERROR(INDEX('Items'!$B$3:$B$202,MATCH($B703,'Items'!$A$3:$A$202,0)),""))</f>
        <v/>
      </c>
      <c r="D703" s="4" t="n"/>
      <c r="E703" s="4" t="n"/>
      <c r="F703" s="6" t="n"/>
      <c r="G703" s="4" t="n"/>
      <c r="H703" s="4" t="n"/>
      <c r="I703" s="4" t="n"/>
      <c r="J703" s="4" t="n"/>
    </row>
    <row r="704">
      <c r="A704" s="5" t="n"/>
      <c r="B704" s="4" t="n"/>
      <c r="C704" s="8">
        <f>IF($B704="","",IFERROR(INDEX('Items'!$B$3:$B$202,MATCH($B704,'Items'!$A$3:$A$202,0)),""))</f>
        <v/>
      </c>
      <c r="D704" s="4" t="n"/>
      <c r="E704" s="4" t="n"/>
      <c r="F704" s="6" t="n"/>
      <c r="G704" s="4" t="n"/>
      <c r="H704" s="4" t="n"/>
      <c r="I704" s="4" t="n"/>
      <c r="J704" s="4" t="n"/>
    </row>
    <row r="705">
      <c r="A705" s="5" t="n"/>
      <c r="B705" s="4" t="n"/>
      <c r="C705" s="8">
        <f>IF($B705="","",IFERROR(INDEX('Items'!$B$3:$B$202,MATCH($B705,'Items'!$A$3:$A$202,0)),""))</f>
        <v/>
      </c>
      <c r="D705" s="4" t="n"/>
      <c r="E705" s="4" t="n"/>
      <c r="F705" s="6" t="n"/>
      <c r="G705" s="4" t="n"/>
      <c r="H705" s="4" t="n"/>
      <c r="I705" s="4" t="n"/>
      <c r="J705" s="4" t="n"/>
    </row>
    <row r="706">
      <c r="A706" s="5" t="n"/>
      <c r="B706" s="4" t="n"/>
      <c r="C706" s="8">
        <f>IF($B706="","",IFERROR(INDEX('Items'!$B$3:$B$202,MATCH($B706,'Items'!$A$3:$A$202,0)),""))</f>
        <v/>
      </c>
      <c r="D706" s="4" t="n"/>
      <c r="E706" s="4" t="n"/>
      <c r="F706" s="6" t="n"/>
      <c r="G706" s="4" t="n"/>
      <c r="H706" s="4" t="n"/>
      <c r="I706" s="4" t="n"/>
      <c r="J706" s="4" t="n"/>
    </row>
    <row r="707">
      <c r="A707" s="5" t="n"/>
      <c r="B707" s="4" t="n"/>
      <c r="C707" s="8">
        <f>IF($B707="","",IFERROR(INDEX('Items'!$B$3:$B$202,MATCH($B707,'Items'!$A$3:$A$202,0)),""))</f>
        <v/>
      </c>
      <c r="D707" s="4" t="n"/>
      <c r="E707" s="4" t="n"/>
      <c r="F707" s="6" t="n"/>
      <c r="G707" s="4" t="n"/>
      <c r="H707" s="4" t="n"/>
      <c r="I707" s="4" t="n"/>
      <c r="J707" s="4" t="n"/>
    </row>
    <row r="708">
      <c r="A708" s="5" t="n"/>
      <c r="B708" s="4" t="n"/>
      <c r="C708" s="8">
        <f>IF($B708="","",IFERROR(INDEX('Items'!$B$3:$B$202,MATCH($B708,'Items'!$A$3:$A$202,0)),""))</f>
        <v/>
      </c>
      <c r="D708" s="4" t="n"/>
      <c r="E708" s="4" t="n"/>
      <c r="F708" s="6" t="n"/>
      <c r="G708" s="4" t="n"/>
      <c r="H708" s="4" t="n"/>
      <c r="I708" s="4" t="n"/>
      <c r="J708" s="4" t="n"/>
    </row>
    <row r="709">
      <c r="A709" s="5" t="n"/>
      <c r="B709" s="4" t="n"/>
      <c r="C709" s="8">
        <f>IF($B709="","",IFERROR(INDEX('Items'!$B$3:$B$202,MATCH($B709,'Items'!$A$3:$A$202,0)),""))</f>
        <v/>
      </c>
      <c r="D709" s="4" t="n"/>
      <c r="E709" s="4" t="n"/>
      <c r="F709" s="6" t="n"/>
      <c r="G709" s="4" t="n"/>
      <c r="H709" s="4" t="n"/>
      <c r="I709" s="4" t="n"/>
      <c r="J709" s="4" t="n"/>
    </row>
    <row r="710">
      <c r="A710" s="5" t="n"/>
      <c r="B710" s="4" t="n"/>
      <c r="C710" s="8">
        <f>IF($B710="","",IFERROR(INDEX('Items'!$B$3:$B$202,MATCH($B710,'Items'!$A$3:$A$202,0)),""))</f>
        <v/>
      </c>
      <c r="D710" s="4" t="n"/>
      <c r="E710" s="4" t="n"/>
      <c r="F710" s="6" t="n"/>
      <c r="G710" s="4" t="n"/>
      <c r="H710" s="4" t="n"/>
      <c r="I710" s="4" t="n"/>
      <c r="J710" s="4" t="n"/>
    </row>
    <row r="711">
      <c r="A711" s="5" t="n"/>
      <c r="B711" s="4" t="n"/>
      <c r="C711" s="8">
        <f>IF($B711="","",IFERROR(INDEX('Items'!$B$3:$B$202,MATCH($B711,'Items'!$A$3:$A$202,0)),""))</f>
        <v/>
      </c>
      <c r="D711" s="4" t="n"/>
      <c r="E711" s="4" t="n"/>
      <c r="F711" s="6" t="n"/>
      <c r="G711" s="4" t="n"/>
      <c r="H711" s="4" t="n"/>
      <c r="I711" s="4" t="n"/>
      <c r="J711" s="4" t="n"/>
    </row>
    <row r="712">
      <c r="A712" s="5" t="n"/>
      <c r="B712" s="4" t="n"/>
      <c r="C712" s="8">
        <f>IF($B712="","",IFERROR(INDEX('Items'!$B$3:$B$202,MATCH($B712,'Items'!$A$3:$A$202,0)),""))</f>
        <v/>
      </c>
      <c r="D712" s="4" t="n"/>
      <c r="E712" s="4" t="n"/>
      <c r="F712" s="6" t="n"/>
      <c r="G712" s="4" t="n"/>
      <c r="H712" s="4" t="n"/>
      <c r="I712" s="4" t="n"/>
      <c r="J712" s="4" t="n"/>
    </row>
    <row r="713">
      <c r="A713" s="5" t="n"/>
      <c r="B713" s="4" t="n"/>
      <c r="C713" s="8">
        <f>IF($B713="","",IFERROR(INDEX('Items'!$B$3:$B$202,MATCH($B713,'Items'!$A$3:$A$202,0)),""))</f>
        <v/>
      </c>
      <c r="D713" s="4" t="n"/>
      <c r="E713" s="4" t="n"/>
      <c r="F713" s="6" t="n"/>
      <c r="G713" s="4" t="n"/>
      <c r="H713" s="4" t="n"/>
      <c r="I713" s="4" t="n"/>
      <c r="J713" s="4" t="n"/>
    </row>
    <row r="714">
      <c r="A714" s="5" t="n"/>
      <c r="B714" s="4" t="n"/>
      <c r="C714" s="8">
        <f>IF($B714="","",IFERROR(INDEX('Items'!$B$3:$B$202,MATCH($B714,'Items'!$A$3:$A$202,0)),""))</f>
        <v/>
      </c>
      <c r="D714" s="4" t="n"/>
      <c r="E714" s="4" t="n"/>
      <c r="F714" s="6" t="n"/>
      <c r="G714" s="4" t="n"/>
      <c r="H714" s="4" t="n"/>
      <c r="I714" s="4" t="n"/>
      <c r="J714" s="4" t="n"/>
    </row>
    <row r="715">
      <c r="A715" s="5" t="n"/>
      <c r="B715" s="4" t="n"/>
      <c r="C715" s="8">
        <f>IF($B715="","",IFERROR(INDEX('Items'!$B$3:$B$202,MATCH($B715,'Items'!$A$3:$A$202,0)),""))</f>
        <v/>
      </c>
      <c r="D715" s="4" t="n"/>
      <c r="E715" s="4" t="n"/>
      <c r="F715" s="6" t="n"/>
      <c r="G715" s="4" t="n"/>
      <c r="H715" s="4" t="n"/>
      <c r="I715" s="4" t="n"/>
      <c r="J715" s="4" t="n"/>
    </row>
    <row r="716">
      <c r="A716" s="5" t="n"/>
      <c r="B716" s="4" t="n"/>
      <c r="C716" s="8">
        <f>IF($B716="","",IFERROR(INDEX('Items'!$B$3:$B$202,MATCH($B716,'Items'!$A$3:$A$202,0)),""))</f>
        <v/>
      </c>
      <c r="D716" s="4" t="n"/>
      <c r="E716" s="4" t="n"/>
      <c r="F716" s="6" t="n"/>
      <c r="G716" s="4" t="n"/>
      <c r="H716" s="4" t="n"/>
      <c r="I716" s="4" t="n"/>
      <c r="J716" s="4" t="n"/>
    </row>
    <row r="717">
      <c r="A717" s="5" t="n"/>
      <c r="B717" s="4" t="n"/>
      <c r="C717" s="8">
        <f>IF($B717="","",IFERROR(INDEX('Items'!$B$3:$B$202,MATCH($B717,'Items'!$A$3:$A$202,0)),""))</f>
        <v/>
      </c>
      <c r="D717" s="4" t="n"/>
      <c r="E717" s="4" t="n"/>
      <c r="F717" s="6" t="n"/>
      <c r="G717" s="4" t="n"/>
      <c r="H717" s="4" t="n"/>
      <c r="I717" s="4" t="n"/>
      <c r="J717" s="4" t="n"/>
    </row>
    <row r="718">
      <c r="A718" s="5" t="n"/>
      <c r="B718" s="4" t="n"/>
      <c r="C718" s="8">
        <f>IF($B718="","",IFERROR(INDEX('Items'!$B$3:$B$202,MATCH($B718,'Items'!$A$3:$A$202,0)),""))</f>
        <v/>
      </c>
      <c r="D718" s="4" t="n"/>
      <c r="E718" s="4" t="n"/>
      <c r="F718" s="6" t="n"/>
      <c r="G718" s="4" t="n"/>
      <c r="H718" s="4" t="n"/>
      <c r="I718" s="4" t="n"/>
      <c r="J718" s="4" t="n"/>
    </row>
    <row r="719">
      <c r="A719" s="5" t="n"/>
      <c r="B719" s="4" t="n"/>
      <c r="C719" s="8">
        <f>IF($B719="","",IFERROR(INDEX('Items'!$B$3:$B$202,MATCH($B719,'Items'!$A$3:$A$202,0)),""))</f>
        <v/>
      </c>
      <c r="D719" s="4" t="n"/>
      <c r="E719" s="4" t="n"/>
      <c r="F719" s="6" t="n"/>
      <c r="G719" s="4" t="n"/>
      <c r="H719" s="4" t="n"/>
      <c r="I719" s="4" t="n"/>
      <c r="J719" s="4" t="n"/>
    </row>
    <row r="720">
      <c r="A720" s="5" t="n"/>
      <c r="B720" s="4" t="n"/>
      <c r="C720" s="8">
        <f>IF($B720="","",IFERROR(INDEX('Items'!$B$3:$B$202,MATCH($B720,'Items'!$A$3:$A$202,0)),""))</f>
        <v/>
      </c>
      <c r="D720" s="4" t="n"/>
      <c r="E720" s="4" t="n"/>
      <c r="F720" s="6" t="n"/>
      <c r="G720" s="4" t="n"/>
      <c r="H720" s="4" t="n"/>
      <c r="I720" s="4" t="n"/>
      <c r="J720" s="4" t="n"/>
    </row>
    <row r="721">
      <c r="A721" s="5" t="n"/>
      <c r="B721" s="4" t="n"/>
      <c r="C721" s="8">
        <f>IF($B721="","",IFERROR(INDEX('Items'!$B$3:$B$202,MATCH($B721,'Items'!$A$3:$A$202,0)),""))</f>
        <v/>
      </c>
      <c r="D721" s="4" t="n"/>
      <c r="E721" s="4" t="n"/>
      <c r="F721" s="6" t="n"/>
      <c r="G721" s="4" t="n"/>
      <c r="H721" s="4" t="n"/>
      <c r="I721" s="4" t="n"/>
      <c r="J721" s="4" t="n"/>
    </row>
    <row r="722">
      <c r="A722" s="5" t="n"/>
      <c r="B722" s="4" t="n"/>
      <c r="C722" s="8">
        <f>IF($B722="","",IFERROR(INDEX('Items'!$B$3:$B$202,MATCH($B722,'Items'!$A$3:$A$202,0)),""))</f>
        <v/>
      </c>
      <c r="D722" s="4" t="n"/>
      <c r="E722" s="4" t="n"/>
      <c r="F722" s="6" t="n"/>
      <c r="G722" s="4" t="n"/>
      <c r="H722" s="4" t="n"/>
      <c r="I722" s="4" t="n"/>
      <c r="J722" s="4" t="n"/>
    </row>
    <row r="723">
      <c r="A723" s="5" t="n"/>
      <c r="B723" s="4" t="n"/>
      <c r="C723" s="8">
        <f>IF($B723="","",IFERROR(INDEX('Items'!$B$3:$B$202,MATCH($B723,'Items'!$A$3:$A$202,0)),""))</f>
        <v/>
      </c>
      <c r="D723" s="4" t="n"/>
      <c r="E723" s="4" t="n"/>
      <c r="F723" s="6" t="n"/>
      <c r="G723" s="4" t="n"/>
      <c r="H723" s="4" t="n"/>
      <c r="I723" s="4" t="n"/>
      <c r="J723" s="4" t="n"/>
    </row>
    <row r="724">
      <c r="A724" s="5" t="n"/>
      <c r="B724" s="4" t="n"/>
      <c r="C724" s="8">
        <f>IF($B724="","",IFERROR(INDEX('Items'!$B$3:$B$202,MATCH($B724,'Items'!$A$3:$A$202,0)),""))</f>
        <v/>
      </c>
      <c r="D724" s="4" t="n"/>
      <c r="E724" s="4" t="n"/>
      <c r="F724" s="6" t="n"/>
      <c r="G724" s="4" t="n"/>
      <c r="H724" s="4" t="n"/>
      <c r="I724" s="4" t="n"/>
      <c r="J724" s="4" t="n"/>
    </row>
    <row r="725">
      <c r="A725" s="5" t="n"/>
      <c r="B725" s="4" t="n"/>
      <c r="C725" s="8">
        <f>IF($B725="","",IFERROR(INDEX('Items'!$B$3:$B$202,MATCH($B725,'Items'!$A$3:$A$202,0)),""))</f>
        <v/>
      </c>
      <c r="D725" s="4" t="n"/>
      <c r="E725" s="4" t="n"/>
      <c r="F725" s="6" t="n"/>
      <c r="G725" s="4" t="n"/>
      <c r="H725" s="4" t="n"/>
      <c r="I725" s="4" t="n"/>
      <c r="J725" s="4" t="n"/>
    </row>
    <row r="726">
      <c r="A726" s="5" t="n"/>
      <c r="B726" s="4" t="n"/>
      <c r="C726" s="8">
        <f>IF($B726="","",IFERROR(INDEX('Items'!$B$3:$B$202,MATCH($B726,'Items'!$A$3:$A$202,0)),""))</f>
        <v/>
      </c>
      <c r="D726" s="4" t="n"/>
      <c r="E726" s="4" t="n"/>
      <c r="F726" s="6" t="n"/>
      <c r="G726" s="4" t="n"/>
      <c r="H726" s="4" t="n"/>
      <c r="I726" s="4" t="n"/>
      <c r="J726" s="4" t="n"/>
    </row>
    <row r="727">
      <c r="A727" s="5" t="n"/>
      <c r="B727" s="4" t="n"/>
      <c r="C727" s="8">
        <f>IF($B727="","",IFERROR(INDEX('Items'!$B$3:$B$202,MATCH($B727,'Items'!$A$3:$A$202,0)),""))</f>
        <v/>
      </c>
      <c r="D727" s="4" t="n"/>
      <c r="E727" s="4" t="n"/>
      <c r="F727" s="6" t="n"/>
      <c r="G727" s="4" t="n"/>
      <c r="H727" s="4" t="n"/>
      <c r="I727" s="4" t="n"/>
      <c r="J727" s="4" t="n"/>
    </row>
    <row r="728">
      <c r="A728" s="5" t="n"/>
      <c r="B728" s="4" t="n"/>
      <c r="C728" s="8">
        <f>IF($B728="","",IFERROR(INDEX('Items'!$B$3:$B$202,MATCH($B728,'Items'!$A$3:$A$202,0)),""))</f>
        <v/>
      </c>
      <c r="D728" s="4" t="n"/>
      <c r="E728" s="4" t="n"/>
      <c r="F728" s="6" t="n"/>
      <c r="G728" s="4" t="n"/>
      <c r="H728" s="4" t="n"/>
      <c r="I728" s="4" t="n"/>
      <c r="J728" s="4" t="n"/>
    </row>
    <row r="729">
      <c r="A729" s="5" t="n"/>
      <c r="B729" s="4" t="n"/>
      <c r="C729" s="8">
        <f>IF($B729="","",IFERROR(INDEX('Items'!$B$3:$B$202,MATCH($B729,'Items'!$A$3:$A$202,0)),""))</f>
        <v/>
      </c>
      <c r="D729" s="4" t="n"/>
      <c r="E729" s="4" t="n"/>
      <c r="F729" s="6" t="n"/>
      <c r="G729" s="4" t="n"/>
      <c r="H729" s="4" t="n"/>
      <c r="I729" s="4" t="n"/>
      <c r="J729" s="4" t="n"/>
    </row>
    <row r="730">
      <c r="A730" s="5" t="n"/>
      <c r="B730" s="4" t="n"/>
      <c r="C730" s="8">
        <f>IF($B730="","",IFERROR(INDEX('Items'!$B$3:$B$202,MATCH($B730,'Items'!$A$3:$A$202,0)),""))</f>
        <v/>
      </c>
      <c r="D730" s="4" t="n"/>
      <c r="E730" s="4" t="n"/>
      <c r="F730" s="6" t="n"/>
      <c r="G730" s="4" t="n"/>
      <c r="H730" s="4" t="n"/>
      <c r="I730" s="4" t="n"/>
      <c r="J730" s="4" t="n"/>
    </row>
    <row r="731">
      <c r="A731" s="5" t="n"/>
      <c r="B731" s="4" t="n"/>
      <c r="C731" s="8">
        <f>IF($B731="","",IFERROR(INDEX('Items'!$B$3:$B$202,MATCH($B731,'Items'!$A$3:$A$202,0)),""))</f>
        <v/>
      </c>
      <c r="D731" s="4" t="n"/>
      <c r="E731" s="4" t="n"/>
      <c r="F731" s="6" t="n"/>
      <c r="G731" s="4" t="n"/>
      <c r="H731" s="4" t="n"/>
      <c r="I731" s="4" t="n"/>
      <c r="J731" s="4" t="n"/>
    </row>
    <row r="732">
      <c r="A732" s="5" t="n"/>
      <c r="B732" s="4" t="n"/>
      <c r="C732" s="8">
        <f>IF($B732="","",IFERROR(INDEX('Items'!$B$3:$B$202,MATCH($B732,'Items'!$A$3:$A$202,0)),""))</f>
        <v/>
      </c>
      <c r="D732" s="4" t="n"/>
      <c r="E732" s="4" t="n"/>
      <c r="F732" s="6" t="n"/>
      <c r="G732" s="4" t="n"/>
      <c r="H732" s="4" t="n"/>
      <c r="I732" s="4" t="n"/>
      <c r="J732" s="4" t="n"/>
    </row>
    <row r="733">
      <c r="A733" s="5" t="n"/>
      <c r="B733" s="4" t="n"/>
      <c r="C733" s="8">
        <f>IF($B733="","",IFERROR(INDEX('Items'!$B$3:$B$202,MATCH($B733,'Items'!$A$3:$A$202,0)),""))</f>
        <v/>
      </c>
      <c r="D733" s="4" t="n"/>
      <c r="E733" s="4" t="n"/>
      <c r="F733" s="6" t="n"/>
      <c r="G733" s="4" t="n"/>
      <c r="H733" s="4" t="n"/>
      <c r="I733" s="4" t="n"/>
      <c r="J733" s="4" t="n"/>
    </row>
    <row r="734">
      <c r="A734" s="5" t="n"/>
      <c r="B734" s="4" t="n"/>
      <c r="C734" s="8">
        <f>IF($B734="","",IFERROR(INDEX('Items'!$B$3:$B$202,MATCH($B734,'Items'!$A$3:$A$202,0)),""))</f>
        <v/>
      </c>
      <c r="D734" s="4" t="n"/>
      <c r="E734" s="4" t="n"/>
      <c r="F734" s="6" t="n"/>
      <c r="G734" s="4" t="n"/>
      <c r="H734" s="4" t="n"/>
      <c r="I734" s="4" t="n"/>
      <c r="J734" s="4" t="n"/>
    </row>
    <row r="735">
      <c r="A735" s="5" t="n"/>
      <c r="B735" s="4" t="n"/>
      <c r="C735" s="8">
        <f>IF($B735="","",IFERROR(INDEX('Items'!$B$3:$B$202,MATCH($B735,'Items'!$A$3:$A$202,0)),""))</f>
        <v/>
      </c>
      <c r="D735" s="4" t="n"/>
      <c r="E735" s="4" t="n"/>
      <c r="F735" s="6" t="n"/>
      <c r="G735" s="4" t="n"/>
      <c r="H735" s="4" t="n"/>
      <c r="I735" s="4" t="n"/>
      <c r="J735" s="4" t="n"/>
    </row>
    <row r="736">
      <c r="A736" s="5" t="n"/>
      <c r="B736" s="4" t="n"/>
      <c r="C736" s="8">
        <f>IF($B736="","",IFERROR(INDEX('Items'!$B$3:$B$202,MATCH($B736,'Items'!$A$3:$A$202,0)),""))</f>
        <v/>
      </c>
      <c r="D736" s="4" t="n"/>
      <c r="E736" s="4" t="n"/>
      <c r="F736" s="6" t="n"/>
      <c r="G736" s="4" t="n"/>
      <c r="H736" s="4" t="n"/>
      <c r="I736" s="4" t="n"/>
      <c r="J736" s="4" t="n"/>
    </row>
    <row r="737">
      <c r="A737" s="5" t="n"/>
      <c r="B737" s="4" t="n"/>
      <c r="C737" s="8">
        <f>IF($B737="","",IFERROR(INDEX('Items'!$B$3:$B$202,MATCH($B737,'Items'!$A$3:$A$202,0)),""))</f>
        <v/>
      </c>
      <c r="D737" s="4" t="n"/>
      <c r="E737" s="4" t="n"/>
      <c r="F737" s="6" t="n"/>
      <c r="G737" s="4" t="n"/>
      <c r="H737" s="4" t="n"/>
      <c r="I737" s="4" t="n"/>
      <c r="J737" s="4" t="n"/>
    </row>
    <row r="738">
      <c r="A738" s="5" t="n"/>
      <c r="B738" s="4" t="n"/>
      <c r="C738" s="8">
        <f>IF($B738="","",IFERROR(INDEX('Items'!$B$3:$B$202,MATCH($B738,'Items'!$A$3:$A$202,0)),""))</f>
        <v/>
      </c>
      <c r="D738" s="4" t="n"/>
      <c r="E738" s="4" t="n"/>
      <c r="F738" s="6" t="n"/>
      <c r="G738" s="4" t="n"/>
      <c r="H738" s="4" t="n"/>
      <c r="I738" s="4" t="n"/>
      <c r="J738" s="4" t="n"/>
    </row>
    <row r="739">
      <c r="A739" s="5" t="n"/>
      <c r="B739" s="4" t="n"/>
      <c r="C739" s="8">
        <f>IF($B739="","",IFERROR(INDEX('Items'!$B$3:$B$202,MATCH($B739,'Items'!$A$3:$A$202,0)),""))</f>
        <v/>
      </c>
      <c r="D739" s="4" t="n"/>
      <c r="E739" s="4" t="n"/>
      <c r="F739" s="6" t="n"/>
      <c r="G739" s="4" t="n"/>
      <c r="H739" s="4" t="n"/>
      <c r="I739" s="4" t="n"/>
      <c r="J739" s="4" t="n"/>
    </row>
    <row r="740">
      <c r="A740" s="5" t="n"/>
      <c r="B740" s="4" t="n"/>
      <c r="C740" s="8">
        <f>IF($B740="","",IFERROR(INDEX('Items'!$B$3:$B$202,MATCH($B740,'Items'!$A$3:$A$202,0)),""))</f>
        <v/>
      </c>
      <c r="D740" s="4" t="n"/>
      <c r="E740" s="4" t="n"/>
      <c r="F740" s="6" t="n"/>
      <c r="G740" s="4" t="n"/>
      <c r="H740" s="4" t="n"/>
      <c r="I740" s="4" t="n"/>
      <c r="J740" s="4" t="n"/>
    </row>
    <row r="741">
      <c r="A741" s="5" t="n"/>
      <c r="B741" s="4" t="n"/>
      <c r="C741" s="8">
        <f>IF($B741="","",IFERROR(INDEX('Items'!$B$3:$B$202,MATCH($B741,'Items'!$A$3:$A$202,0)),""))</f>
        <v/>
      </c>
      <c r="D741" s="4" t="n"/>
      <c r="E741" s="4" t="n"/>
      <c r="F741" s="6" t="n"/>
      <c r="G741" s="4" t="n"/>
      <c r="H741" s="4" t="n"/>
      <c r="I741" s="4" t="n"/>
      <c r="J741" s="4" t="n"/>
    </row>
    <row r="742">
      <c r="A742" s="5" t="n"/>
      <c r="B742" s="4" t="n"/>
      <c r="C742" s="8">
        <f>IF($B742="","",IFERROR(INDEX('Items'!$B$3:$B$202,MATCH($B742,'Items'!$A$3:$A$202,0)),""))</f>
        <v/>
      </c>
      <c r="D742" s="4" t="n"/>
      <c r="E742" s="4" t="n"/>
      <c r="F742" s="6" t="n"/>
      <c r="G742" s="4" t="n"/>
      <c r="H742" s="4" t="n"/>
      <c r="I742" s="4" t="n"/>
      <c r="J742" s="4" t="n"/>
    </row>
    <row r="743">
      <c r="A743" s="5" t="n"/>
      <c r="B743" s="4" t="n"/>
      <c r="C743" s="8">
        <f>IF($B743="","",IFERROR(INDEX('Items'!$B$3:$B$202,MATCH($B743,'Items'!$A$3:$A$202,0)),""))</f>
        <v/>
      </c>
      <c r="D743" s="4" t="n"/>
      <c r="E743" s="4" t="n"/>
      <c r="F743" s="6" t="n"/>
      <c r="G743" s="4" t="n"/>
      <c r="H743" s="4" t="n"/>
      <c r="I743" s="4" t="n"/>
      <c r="J743" s="4" t="n"/>
    </row>
    <row r="744">
      <c r="A744" s="5" t="n"/>
      <c r="B744" s="4" t="n"/>
      <c r="C744" s="8">
        <f>IF($B744="","",IFERROR(INDEX('Items'!$B$3:$B$202,MATCH($B744,'Items'!$A$3:$A$202,0)),""))</f>
        <v/>
      </c>
      <c r="D744" s="4" t="n"/>
      <c r="E744" s="4" t="n"/>
      <c r="F744" s="6" t="n"/>
      <c r="G744" s="4" t="n"/>
      <c r="H744" s="4" t="n"/>
      <c r="I744" s="4" t="n"/>
      <c r="J744" s="4" t="n"/>
    </row>
    <row r="745">
      <c r="A745" s="5" t="n"/>
      <c r="B745" s="4" t="n"/>
      <c r="C745" s="8">
        <f>IF($B745="","",IFERROR(INDEX('Items'!$B$3:$B$202,MATCH($B745,'Items'!$A$3:$A$202,0)),""))</f>
        <v/>
      </c>
      <c r="D745" s="4" t="n"/>
      <c r="E745" s="4" t="n"/>
      <c r="F745" s="6" t="n"/>
      <c r="G745" s="4" t="n"/>
      <c r="H745" s="4" t="n"/>
      <c r="I745" s="4" t="n"/>
      <c r="J745" s="4" t="n"/>
    </row>
    <row r="746">
      <c r="A746" s="5" t="n"/>
      <c r="B746" s="4" t="n"/>
      <c r="C746" s="8">
        <f>IF($B746="","",IFERROR(INDEX('Items'!$B$3:$B$202,MATCH($B746,'Items'!$A$3:$A$202,0)),""))</f>
        <v/>
      </c>
      <c r="D746" s="4" t="n"/>
      <c r="E746" s="4" t="n"/>
      <c r="F746" s="6" t="n"/>
      <c r="G746" s="4" t="n"/>
      <c r="H746" s="4" t="n"/>
      <c r="I746" s="4" t="n"/>
      <c r="J746" s="4" t="n"/>
    </row>
    <row r="747">
      <c r="A747" s="5" t="n"/>
      <c r="B747" s="4" t="n"/>
      <c r="C747" s="8">
        <f>IF($B747="","",IFERROR(INDEX('Items'!$B$3:$B$202,MATCH($B747,'Items'!$A$3:$A$202,0)),""))</f>
        <v/>
      </c>
      <c r="D747" s="4" t="n"/>
      <c r="E747" s="4" t="n"/>
      <c r="F747" s="6" t="n"/>
      <c r="G747" s="4" t="n"/>
      <c r="H747" s="4" t="n"/>
      <c r="I747" s="4" t="n"/>
      <c r="J747" s="4" t="n"/>
    </row>
    <row r="748">
      <c r="A748" s="5" t="n"/>
      <c r="B748" s="4" t="n"/>
      <c r="C748" s="8">
        <f>IF($B748="","",IFERROR(INDEX('Items'!$B$3:$B$202,MATCH($B748,'Items'!$A$3:$A$202,0)),""))</f>
        <v/>
      </c>
      <c r="D748" s="4" t="n"/>
      <c r="E748" s="4" t="n"/>
      <c r="F748" s="6" t="n"/>
      <c r="G748" s="4" t="n"/>
      <c r="H748" s="4" t="n"/>
      <c r="I748" s="4" t="n"/>
      <c r="J748" s="4" t="n"/>
    </row>
    <row r="749">
      <c r="A749" s="5" t="n"/>
      <c r="B749" s="4" t="n"/>
      <c r="C749" s="8">
        <f>IF($B749="","",IFERROR(INDEX('Items'!$B$3:$B$202,MATCH($B749,'Items'!$A$3:$A$202,0)),""))</f>
        <v/>
      </c>
      <c r="D749" s="4" t="n"/>
      <c r="E749" s="4" t="n"/>
      <c r="F749" s="6" t="n"/>
      <c r="G749" s="4" t="n"/>
      <c r="H749" s="4" t="n"/>
      <c r="I749" s="4" t="n"/>
      <c r="J749" s="4" t="n"/>
    </row>
    <row r="750">
      <c r="A750" s="5" t="n"/>
      <c r="B750" s="4" t="n"/>
      <c r="C750" s="8">
        <f>IF($B750="","",IFERROR(INDEX('Items'!$B$3:$B$202,MATCH($B750,'Items'!$A$3:$A$202,0)),""))</f>
        <v/>
      </c>
      <c r="D750" s="4" t="n"/>
      <c r="E750" s="4" t="n"/>
      <c r="F750" s="6" t="n"/>
      <c r="G750" s="4" t="n"/>
      <c r="H750" s="4" t="n"/>
      <c r="I750" s="4" t="n"/>
      <c r="J750" s="4" t="n"/>
    </row>
    <row r="751">
      <c r="A751" s="5" t="n"/>
      <c r="B751" s="4" t="n"/>
      <c r="C751" s="8">
        <f>IF($B751="","",IFERROR(INDEX('Items'!$B$3:$B$202,MATCH($B751,'Items'!$A$3:$A$202,0)),""))</f>
        <v/>
      </c>
      <c r="D751" s="4" t="n"/>
      <c r="E751" s="4" t="n"/>
      <c r="F751" s="6" t="n"/>
      <c r="G751" s="4" t="n"/>
      <c r="H751" s="4" t="n"/>
      <c r="I751" s="4" t="n"/>
      <c r="J751" s="4" t="n"/>
    </row>
    <row r="752">
      <c r="A752" s="5" t="n"/>
      <c r="B752" s="4" t="n"/>
      <c r="C752" s="8">
        <f>IF($B752="","",IFERROR(INDEX('Items'!$B$3:$B$202,MATCH($B752,'Items'!$A$3:$A$202,0)),""))</f>
        <v/>
      </c>
      <c r="D752" s="4" t="n"/>
      <c r="E752" s="4" t="n"/>
      <c r="F752" s="6" t="n"/>
      <c r="G752" s="4" t="n"/>
      <c r="H752" s="4" t="n"/>
      <c r="I752" s="4" t="n"/>
      <c r="J752" s="4" t="n"/>
    </row>
    <row r="753">
      <c r="A753" s="5" t="n"/>
      <c r="B753" s="4" t="n"/>
      <c r="C753" s="8">
        <f>IF($B753="","",IFERROR(INDEX('Items'!$B$3:$B$202,MATCH($B753,'Items'!$A$3:$A$202,0)),""))</f>
        <v/>
      </c>
      <c r="D753" s="4" t="n"/>
      <c r="E753" s="4" t="n"/>
      <c r="F753" s="6" t="n"/>
      <c r="G753" s="4" t="n"/>
      <c r="H753" s="4" t="n"/>
      <c r="I753" s="4" t="n"/>
      <c r="J753" s="4" t="n"/>
    </row>
    <row r="754">
      <c r="A754" s="5" t="n"/>
      <c r="B754" s="4" t="n"/>
      <c r="C754" s="8">
        <f>IF($B754="","",IFERROR(INDEX('Items'!$B$3:$B$202,MATCH($B754,'Items'!$A$3:$A$202,0)),""))</f>
        <v/>
      </c>
      <c r="D754" s="4" t="n"/>
      <c r="E754" s="4" t="n"/>
      <c r="F754" s="6" t="n"/>
      <c r="G754" s="4" t="n"/>
      <c r="H754" s="4" t="n"/>
      <c r="I754" s="4" t="n"/>
      <c r="J754" s="4" t="n"/>
    </row>
    <row r="755">
      <c r="A755" s="5" t="n"/>
      <c r="B755" s="4" t="n"/>
      <c r="C755" s="8">
        <f>IF($B755="","",IFERROR(INDEX('Items'!$B$3:$B$202,MATCH($B755,'Items'!$A$3:$A$202,0)),""))</f>
        <v/>
      </c>
      <c r="D755" s="4" t="n"/>
      <c r="E755" s="4" t="n"/>
      <c r="F755" s="6" t="n"/>
      <c r="G755" s="4" t="n"/>
      <c r="H755" s="4" t="n"/>
      <c r="I755" s="4" t="n"/>
      <c r="J755" s="4" t="n"/>
    </row>
    <row r="756">
      <c r="A756" s="5" t="n"/>
      <c r="B756" s="4" t="n"/>
      <c r="C756" s="8">
        <f>IF($B756="","",IFERROR(INDEX('Items'!$B$3:$B$202,MATCH($B756,'Items'!$A$3:$A$202,0)),""))</f>
        <v/>
      </c>
      <c r="D756" s="4" t="n"/>
      <c r="E756" s="4" t="n"/>
      <c r="F756" s="6" t="n"/>
      <c r="G756" s="4" t="n"/>
      <c r="H756" s="4" t="n"/>
      <c r="I756" s="4" t="n"/>
      <c r="J756" s="4" t="n"/>
    </row>
    <row r="757">
      <c r="A757" s="5" t="n"/>
      <c r="B757" s="4" t="n"/>
      <c r="C757" s="8">
        <f>IF($B757="","",IFERROR(INDEX('Items'!$B$3:$B$202,MATCH($B757,'Items'!$A$3:$A$202,0)),""))</f>
        <v/>
      </c>
      <c r="D757" s="4" t="n"/>
      <c r="E757" s="4" t="n"/>
      <c r="F757" s="6" t="n"/>
      <c r="G757" s="4" t="n"/>
      <c r="H757" s="4" t="n"/>
      <c r="I757" s="4" t="n"/>
      <c r="J757" s="4" t="n"/>
    </row>
    <row r="758">
      <c r="A758" s="5" t="n"/>
      <c r="B758" s="4" t="n"/>
      <c r="C758" s="8">
        <f>IF($B758="","",IFERROR(INDEX('Items'!$B$3:$B$202,MATCH($B758,'Items'!$A$3:$A$202,0)),""))</f>
        <v/>
      </c>
      <c r="D758" s="4" t="n"/>
      <c r="E758" s="4" t="n"/>
      <c r="F758" s="6" t="n"/>
      <c r="G758" s="4" t="n"/>
      <c r="H758" s="4" t="n"/>
      <c r="I758" s="4" t="n"/>
      <c r="J758" s="4" t="n"/>
    </row>
    <row r="759">
      <c r="A759" s="5" t="n"/>
      <c r="B759" s="4" t="n"/>
      <c r="C759" s="8">
        <f>IF($B759="","",IFERROR(INDEX('Items'!$B$3:$B$202,MATCH($B759,'Items'!$A$3:$A$202,0)),""))</f>
        <v/>
      </c>
      <c r="D759" s="4" t="n"/>
      <c r="E759" s="4" t="n"/>
      <c r="F759" s="6" t="n"/>
      <c r="G759" s="4" t="n"/>
      <c r="H759" s="4" t="n"/>
      <c r="I759" s="4" t="n"/>
      <c r="J759" s="4" t="n"/>
    </row>
    <row r="760">
      <c r="A760" s="5" t="n"/>
      <c r="B760" s="4" t="n"/>
      <c r="C760" s="8">
        <f>IF($B760="","",IFERROR(INDEX('Items'!$B$3:$B$202,MATCH($B760,'Items'!$A$3:$A$202,0)),""))</f>
        <v/>
      </c>
      <c r="D760" s="4" t="n"/>
      <c r="E760" s="4" t="n"/>
      <c r="F760" s="6" t="n"/>
      <c r="G760" s="4" t="n"/>
      <c r="H760" s="4" t="n"/>
      <c r="I760" s="4" t="n"/>
      <c r="J760" s="4" t="n"/>
    </row>
    <row r="761">
      <c r="A761" s="5" t="n"/>
      <c r="B761" s="4" t="n"/>
      <c r="C761" s="8">
        <f>IF($B761="","",IFERROR(INDEX('Items'!$B$3:$B$202,MATCH($B761,'Items'!$A$3:$A$202,0)),""))</f>
        <v/>
      </c>
      <c r="D761" s="4" t="n"/>
      <c r="E761" s="4" t="n"/>
      <c r="F761" s="6" t="n"/>
      <c r="G761" s="4" t="n"/>
      <c r="H761" s="4" t="n"/>
      <c r="I761" s="4" t="n"/>
      <c r="J761" s="4" t="n"/>
    </row>
    <row r="762">
      <c r="A762" s="5" t="n"/>
      <c r="B762" s="4" t="n"/>
      <c r="C762" s="8">
        <f>IF($B762="","",IFERROR(INDEX('Items'!$B$3:$B$202,MATCH($B762,'Items'!$A$3:$A$202,0)),""))</f>
        <v/>
      </c>
      <c r="D762" s="4" t="n"/>
      <c r="E762" s="4" t="n"/>
      <c r="F762" s="6" t="n"/>
      <c r="G762" s="4" t="n"/>
      <c r="H762" s="4" t="n"/>
      <c r="I762" s="4" t="n"/>
      <c r="J762" s="4" t="n"/>
    </row>
    <row r="763">
      <c r="A763" s="5" t="n"/>
      <c r="B763" s="4" t="n"/>
      <c r="C763" s="8">
        <f>IF($B763="","",IFERROR(INDEX('Items'!$B$3:$B$202,MATCH($B763,'Items'!$A$3:$A$202,0)),""))</f>
        <v/>
      </c>
      <c r="D763" s="4" t="n"/>
      <c r="E763" s="4" t="n"/>
      <c r="F763" s="6" t="n"/>
      <c r="G763" s="4" t="n"/>
      <c r="H763" s="4" t="n"/>
      <c r="I763" s="4" t="n"/>
      <c r="J763" s="4" t="n"/>
    </row>
    <row r="764">
      <c r="A764" s="5" t="n"/>
      <c r="B764" s="4" t="n"/>
      <c r="C764" s="8">
        <f>IF($B764="","",IFERROR(INDEX('Items'!$B$3:$B$202,MATCH($B764,'Items'!$A$3:$A$202,0)),""))</f>
        <v/>
      </c>
      <c r="D764" s="4" t="n"/>
      <c r="E764" s="4" t="n"/>
      <c r="F764" s="6" t="n"/>
      <c r="G764" s="4" t="n"/>
      <c r="H764" s="4" t="n"/>
      <c r="I764" s="4" t="n"/>
      <c r="J764" s="4" t="n"/>
    </row>
    <row r="765">
      <c r="A765" s="5" t="n"/>
      <c r="B765" s="4" t="n"/>
      <c r="C765" s="8">
        <f>IF($B765="","",IFERROR(INDEX('Items'!$B$3:$B$202,MATCH($B765,'Items'!$A$3:$A$202,0)),""))</f>
        <v/>
      </c>
      <c r="D765" s="4" t="n"/>
      <c r="E765" s="4" t="n"/>
      <c r="F765" s="6" t="n"/>
      <c r="G765" s="4" t="n"/>
      <c r="H765" s="4" t="n"/>
      <c r="I765" s="4" t="n"/>
      <c r="J765" s="4" t="n"/>
    </row>
    <row r="766">
      <c r="A766" s="5" t="n"/>
      <c r="B766" s="4" t="n"/>
      <c r="C766" s="8">
        <f>IF($B766="","",IFERROR(INDEX('Items'!$B$3:$B$202,MATCH($B766,'Items'!$A$3:$A$202,0)),""))</f>
        <v/>
      </c>
      <c r="D766" s="4" t="n"/>
      <c r="E766" s="4" t="n"/>
      <c r="F766" s="6" t="n"/>
      <c r="G766" s="4" t="n"/>
      <c r="H766" s="4" t="n"/>
      <c r="I766" s="4" t="n"/>
      <c r="J766" s="4" t="n"/>
    </row>
    <row r="767">
      <c r="A767" s="5" t="n"/>
      <c r="B767" s="4" t="n"/>
      <c r="C767" s="8">
        <f>IF($B767="","",IFERROR(INDEX('Items'!$B$3:$B$202,MATCH($B767,'Items'!$A$3:$A$202,0)),""))</f>
        <v/>
      </c>
      <c r="D767" s="4" t="n"/>
      <c r="E767" s="4" t="n"/>
      <c r="F767" s="6" t="n"/>
      <c r="G767" s="4" t="n"/>
      <c r="H767" s="4" t="n"/>
      <c r="I767" s="4" t="n"/>
      <c r="J767" s="4" t="n"/>
    </row>
    <row r="768">
      <c r="A768" s="5" t="n"/>
      <c r="B768" s="4" t="n"/>
      <c r="C768" s="8">
        <f>IF($B768="","",IFERROR(INDEX('Items'!$B$3:$B$202,MATCH($B768,'Items'!$A$3:$A$202,0)),""))</f>
        <v/>
      </c>
      <c r="D768" s="4" t="n"/>
      <c r="E768" s="4" t="n"/>
      <c r="F768" s="6" t="n"/>
      <c r="G768" s="4" t="n"/>
      <c r="H768" s="4" t="n"/>
      <c r="I768" s="4" t="n"/>
      <c r="J768" s="4" t="n"/>
    </row>
    <row r="769">
      <c r="A769" s="5" t="n"/>
      <c r="B769" s="4" t="n"/>
      <c r="C769" s="8">
        <f>IF($B769="","",IFERROR(INDEX('Items'!$B$3:$B$202,MATCH($B769,'Items'!$A$3:$A$202,0)),""))</f>
        <v/>
      </c>
      <c r="D769" s="4" t="n"/>
      <c r="E769" s="4" t="n"/>
      <c r="F769" s="6" t="n"/>
      <c r="G769" s="4" t="n"/>
      <c r="H769" s="4" t="n"/>
      <c r="I769" s="4" t="n"/>
      <c r="J769" s="4" t="n"/>
    </row>
    <row r="770">
      <c r="A770" s="5" t="n"/>
      <c r="B770" s="4" t="n"/>
      <c r="C770" s="8">
        <f>IF($B770="","",IFERROR(INDEX('Items'!$B$3:$B$202,MATCH($B770,'Items'!$A$3:$A$202,0)),""))</f>
        <v/>
      </c>
      <c r="D770" s="4" t="n"/>
      <c r="E770" s="4" t="n"/>
      <c r="F770" s="6" t="n"/>
      <c r="G770" s="4" t="n"/>
      <c r="H770" s="4" t="n"/>
      <c r="I770" s="4" t="n"/>
      <c r="J770" s="4" t="n"/>
    </row>
    <row r="771">
      <c r="A771" s="5" t="n"/>
      <c r="B771" s="4" t="n"/>
      <c r="C771" s="8">
        <f>IF($B771="","",IFERROR(INDEX('Items'!$B$3:$B$202,MATCH($B771,'Items'!$A$3:$A$202,0)),""))</f>
        <v/>
      </c>
      <c r="D771" s="4" t="n"/>
      <c r="E771" s="4" t="n"/>
      <c r="F771" s="6" t="n"/>
      <c r="G771" s="4" t="n"/>
      <c r="H771" s="4" t="n"/>
      <c r="I771" s="4" t="n"/>
      <c r="J771" s="4" t="n"/>
    </row>
    <row r="772">
      <c r="A772" s="5" t="n"/>
      <c r="B772" s="4" t="n"/>
      <c r="C772" s="8">
        <f>IF($B772="","",IFERROR(INDEX('Items'!$B$3:$B$202,MATCH($B772,'Items'!$A$3:$A$202,0)),""))</f>
        <v/>
      </c>
      <c r="D772" s="4" t="n"/>
      <c r="E772" s="4" t="n"/>
      <c r="F772" s="6" t="n"/>
      <c r="G772" s="4" t="n"/>
      <c r="H772" s="4" t="n"/>
      <c r="I772" s="4" t="n"/>
      <c r="J772" s="4" t="n"/>
    </row>
    <row r="773">
      <c r="A773" s="5" t="n"/>
      <c r="B773" s="4" t="n"/>
      <c r="C773" s="8">
        <f>IF($B773="","",IFERROR(INDEX('Items'!$B$3:$B$202,MATCH($B773,'Items'!$A$3:$A$202,0)),""))</f>
        <v/>
      </c>
      <c r="D773" s="4" t="n"/>
      <c r="E773" s="4" t="n"/>
      <c r="F773" s="6" t="n"/>
      <c r="G773" s="4" t="n"/>
      <c r="H773" s="4" t="n"/>
      <c r="I773" s="4" t="n"/>
      <c r="J773" s="4" t="n"/>
    </row>
    <row r="774">
      <c r="A774" s="5" t="n"/>
      <c r="B774" s="4" t="n"/>
      <c r="C774" s="8">
        <f>IF($B774="","",IFERROR(INDEX('Items'!$B$3:$B$202,MATCH($B774,'Items'!$A$3:$A$202,0)),""))</f>
        <v/>
      </c>
      <c r="D774" s="4" t="n"/>
      <c r="E774" s="4" t="n"/>
      <c r="F774" s="6" t="n"/>
      <c r="G774" s="4" t="n"/>
      <c r="H774" s="4" t="n"/>
      <c r="I774" s="4" t="n"/>
      <c r="J774" s="4" t="n"/>
    </row>
    <row r="775">
      <c r="A775" s="5" t="n"/>
      <c r="B775" s="4" t="n"/>
      <c r="C775" s="8">
        <f>IF($B775="","",IFERROR(INDEX('Items'!$B$3:$B$202,MATCH($B775,'Items'!$A$3:$A$202,0)),""))</f>
        <v/>
      </c>
      <c r="D775" s="4" t="n"/>
      <c r="E775" s="4" t="n"/>
      <c r="F775" s="6" t="n"/>
      <c r="G775" s="4" t="n"/>
      <c r="H775" s="4" t="n"/>
      <c r="I775" s="4" t="n"/>
      <c r="J775" s="4" t="n"/>
    </row>
    <row r="776">
      <c r="A776" s="5" t="n"/>
      <c r="B776" s="4" t="n"/>
      <c r="C776" s="8">
        <f>IF($B776="","",IFERROR(INDEX('Items'!$B$3:$B$202,MATCH($B776,'Items'!$A$3:$A$202,0)),""))</f>
        <v/>
      </c>
      <c r="D776" s="4" t="n"/>
      <c r="E776" s="4" t="n"/>
      <c r="F776" s="6" t="n"/>
      <c r="G776" s="4" t="n"/>
      <c r="H776" s="4" t="n"/>
      <c r="I776" s="4" t="n"/>
      <c r="J776" s="4" t="n"/>
    </row>
    <row r="777">
      <c r="A777" s="5" t="n"/>
      <c r="B777" s="4" t="n"/>
      <c r="C777" s="8">
        <f>IF($B777="","",IFERROR(INDEX('Items'!$B$3:$B$202,MATCH($B777,'Items'!$A$3:$A$202,0)),""))</f>
        <v/>
      </c>
      <c r="D777" s="4" t="n"/>
      <c r="E777" s="4" t="n"/>
      <c r="F777" s="6" t="n"/>
      <c r="G777" s="4" t="n"/>
      <c r="H777" s="4" t="n"/>
      <c r="I777" s="4" t="n"/>
      <c r="J777" s="4" t="n"/>
    </row>
    <row r="778">
      <c r="A778" s="5" t="n"/>
      <c r="B778" s="4" t="n"/>
      <c r="C778" s="8">
        <f>IF($B778="","",IFERROR(INDEX('Items'!$B$3:$B$202,MATCH($B778,'Items'!$A$3:$A$202,0)),""))</f>
        <v/>
      </c>
      <c r="D778" s="4" t="n"/>
      <c r="E778" s="4" t="n"/>
      <c r="F778" s="6" t="n"/>
      <c r="G778" s="4" t="n"/>
      <c r="H778" s="4" t="n"/>
      <c r="I778" s="4" t="n"/>
      <c r="J778" s="4" t="n"/>
    </row>
    <row r="779">
      <c r="A779" s="5" t="n"/>
      <c r="B779" s="4" t="n"/>
      <c r="C779" s="8">
        <f>IF($B779="","",IFERROR(INDEX('Items'!$B$3:$B$202,MATCH($B779,'Items'!$A$3:$A$202,0)),""))</f>
        <v/>
      </c>
      <c r="D779" s="4" t="n"/>
      <c r="E779" s="4" t="n"/>
      <c r="F779" s="6" t="n"/>
      <c r="G779" s="4" t="n"/>
      <c r="H779" s="4" t="n"/>
      <c r="I779" s="4" t="n"/>
      <c r="J779" s="4" t="n"/>
    </row>
    <row r="780">
      <c r="A780" s="5" t="n"/>
      <c r="B780" s="4" t="n"/>
      <c r="C780" s="8">
        <f>IF($B780="","",IFERROR(INDEX('Items'!$B$3:$B$202,MATCH($B780,'Items'!$A$3:$A$202,0)),""))</f>
        <v/>
      </c>
      <c r="D780" s="4" t="n"/>
      <c r="E780" s="4" t="n"/>
      <c r="F780" s="6" t="n"/>
      <c r="G780" s="4" t="n"/>
      <c r="H780" s="4" t="n"/>
      <c r="I780" s="4" t="n"/>
      <c r="J780" s="4" t="n"/>
    </row>
    <row r="781">
      <c r="A781" s="5" t="n"/>
      <c r="B781" s="4" t="n"/>
      <c r="C781" s="8">
        <f>IF($B781="","",IFERROR(INDEX('Items'!$B$3:$B$202,MATCH($B781,'Items'!$A$3:$A$202,0)),""))</f>
        <v/>
      </c>
      <c r="D781" s="4" t="n"/>
      <c r="E781" s="4" t="n"/>
      <c r="F781" s="6" t="n"/>
      <c r="G781" s="4" t="n"/>
      <c r="H781" s="4" t="n"/>
      <c r="I781" s="4" t="n"/>
      <c r="J781" s="4" t="n"/>
    </row>
    <row r="782">
      <c r="A782" s="5" t="n"/>
      <c r="B782" s="4" t="n"/>
      <c r="C782" s="8">
        <f>IF($B782="","",IFERROR(INDEX('Items'!$B$3:$B$202,MATCH($B782,'Items'!$A$3:$A$202,0)),""))</f>
        <v/>
      </c>
      <c r="D782" s="4" t="n"/>
      <c r="E782" s="4" t="n"/>
      <c r="F782" s="6" t="n"/>
      <c r="G782" s="4" t="n"/>
      <c r="H782" s="4" t="n"/>
      <c r="I782" s="4" t="n"/>
      <c r="J782" s="4" t="n"/>
    </row>
    <row r="783">
      <c r="A783" s="5" t="n"/>
      <c r="B783" s="4" t="n"/>
      <c r="C783" s="8">
        <f>IF($B783="","",IFERROR(INDEX('Items'!$B$3:$B$202,MATCH($B783,'Items'!$A$3:$A$202,0)),""))</f>
        <v/>
      </c>
      <c r="D783" s="4" t="n"/>
      <c r="E783" s="4" t="n"/>
      <c r="F783" s="6" t="n"/>
      <c r="G783" s="4" t="n"/>
      <c r="H783" s="4" t="n"/>
      <c r="I783" s="4" t="n"/>
      <c r="J783" s="4" t="n"/>
    </row>
    <row r="784">
      <c r="A784" s="5" t="n"/>
      <c r="B784" s="4" t="n"/>
      <c r="C784" s="8">
        <f>IF($B784="","",IFERROR(INDEX('Items'!$B$3:$B$202,MATCH($B784,'Items'!$A$3:$A$202,0)),""))</f>
        <v/>
      </c>
      <c r="D784" s="4" t="n"/>
      <c r="E784" s="4" t="n"/>
      <c r="F784" s="6" t="n"/>
      <c r="G784" s="4" t="n"/>
      <c r="H784" s="4" t="n"/>
      <c r="I784" s="4" t="n"/>
      <c r="J784" s="4" t="n"/>
    </row>
    <row r="785">
      <c r="A785" s="5" t="n"/>
      <c r="B785" s="4" t="n"/>
      <c r="C785" s="8">
        <f>IF($B785="","",IFERROR(INDEX('Items'!$B$3:$B$202,MATCH($B785,'Items'!$A$3:$A$202,0)),""))</f>
        <v/>
      </c>
      <c r="D785" s="4" t="n"/>
      <c r="E785" s="4" t="n"/>
      <c r="F785" s="6" t="n"/>
      <c r="G785" s="4" t="n"/>
      <c r="H785" s="4" t="n"/>
      <c r="I785" s="4" t="n"/>
      <c r="J785" s="4" t="n"/>
    </row>
    <row r="786">
      <c r="A786" s="5" t="n"/>
      <c r="B786" s="4" t="n"/>
      <c r="C786" s="8">
        <f>IF($B786="","",IFERROR(INDEX('Items'!$B$3:$B$202,MATCH($B786,'Items'!$A$3:$A$202,0)),""))</f>
        <v/>
      </c>
      <c r="D786" s="4" t="n"/>
      <c r="E786" s="4" t="n"/>
      <c r="F786" s="6" t="n"/>
      <c r="G786" s="4" t="n"/>
      <c r="H786" s="4" t="n"/>
      <c r="I786" s="4" t="n"/>
      <c r="J786" s="4" t="n"/>
    </row>
    <row r="787">
      <c r="A787" s="5" t="n"/>
      <c r="B787" s="4" t="n"/>
      <c r="C787" s="8">
        <f>IF($B787="","",IFERROR(INDEX('Items'!$B$3:$B$202,MATCH($B787,'Items'!$A$3:$A$202,0)),""))</f>
        <v/>
      </c>
      <c r="D787" s="4" t="n"/>
      <c r="E787" s="4" t="n"/>
      <c r="F787" s="6" t="n"/>
      <c r="G787" s="4" t="n"/>
      <c r="H787" s="4" t="n"/>
      <c r="I787" s="4" t="n"/>
      <c r="J787" s="4" t="n"/>
    </row>
    <row r="788">
      <c r="A788" s="5" t="n"/>
      <c r="B788" s="4" t="n"/>
      <c r="C788" s="8">
        <f>IF($B788="","",IFERROR(INDEX('Items'!$B$3:$B$202,MATCH($B788,'Items'!$A$3:$A$202,0)),""))</f>
        <v/>
      </c>
      <c r="D788" s="4" t="n"/>
      <c r="E788" s="4" t="n"/>
      <c r="F788" s="6" t="n"/>
      <c r="G788" s="4" t="n"/>
      <c r="H788" s="4" t="n"/>
      <c r="I788" s="4" t="n"/>
      <c r="J788" s="4" t="n"/>
    </row>
    <row r="789">
      <c r="A789" s="5" t="n"/>
      <c r="B789" s="4" t="n"/>
      <c r="C789" s="8">
        <f>IF($B789="","",IFERROR(INDEX('Items'!$B$3:$B$202,MATCH($B789,'Items'!$A$3:$A$202,0)),""))</f>
        <v/>
      </c>
      <c r="D789" s="4" t="n"/>
      <c r="E789" s="4" t="n"/>
      <c r="F789" s="6" t="n"/>
      <c r="G789" s="4" t="n"/>
      <c r="H789" s="4" t="n"/>
      <c r="I789" s="4" t="n"/>
      <c r="J789" s="4" t="n"/>
    </row>
    <row r="790">
      <c r="A790" s="5" t="n"/>
      <c r="B790" s="4" t="n"/>
      <c r="C790" s="8">
        <f>IF($B790="","",IFERROR(INDEX('Items'!$B$3:$B$202,MATCH($B790,'Items'!$A$3:$A$202,0)),""))</f>
        <v/>
      </c>
      <c r="D790" s="4" t="n"/>
      <c r="E790" s="4" t="n"/>
      <c r="F790" s="6" t="n"/>
      <c r="G790" s="4" t="n"/>
      <c r="H790" s="4" t="n"/>
      <c r="I790" s="4" t="n"/>
      <c r="J790" s="4" t="n"/>
    </row>
    <row r="791">
      <c r="A791" s="5" t="n"/>
      <c r="B791" s="4" t="n"/>
      <c r="C791" s="8">
        <f>IF($B791="","",IFERROR(INDEX('Items'!$B$3:$B$202,MATCH($B791,'Items'!$A$3:$A$202,0)),""))</f>
        <v/>
      </c>
      <c r="D791" s="4" t="n"/>
      <c r="E791" s="4" t="n"/>
      <c r="F791" s="6" t="n"/>
      <c r="G791" s="4" t="n"/>
      <c r="H791" s="4" t="n"/>
      <c r="I791" s="4" t="n"/>
      <c r="J791" s="4" t="n"/>
    </row>
    <row r="792">
      <c r="A792" s="5" t="n"/>
      <c r="B792" s="4" t="n"/>
      <c r="C792" s="8">
        <f>IF($B792="","",IFERROR(INDEX('Items'!$B$3:$B$202,MATCH($B792,'Items'!$A$3:$A$202,0)),""))</f>
        <v/>
      </c>
      <c r="D792" s="4" t="n"/>
      <c r="E792" s="4" t="n"/>
      <c r="F792" s="6" t="n"/>
      <c r="G792" s="4" t="n"/>
      <c r="H792" s="4" t="n"/>
      <c r="I792" s="4" t="n"/>
      <c r="J792" s="4" t="n"/>
    </row>
    <row r="793">
      <c r="A793" s="5" t="n"/>
      <c r="B793" s="4" t="n"/>
      <c r="C793" s="8">
        <f>IF($B793="","",IFERROR(INDEX('Items'!$B$3:$B$202,MATCH($B793,'Items'!$A$3:$A$202,0)),""))</f>
        <v/>
      </c>
      <c r="D793" s="4" t="n"/>
      <c r="E793" s="4" t="n"/>
      <c r="F793" s="6" t="n"/>
      <c r="G793" s="4" t="n"/>
      <c r="H793" s="4" t="n"/>
      <c r="I793" s="4" t="n"/>
      <c r="J793" s="4" t="n"/>
    </row>
    <row r="794">
      <c r="A794" s="5" t="n"/>
      <c r="B794" s="4" t="n"/>
      <c r="C794" s="8">
        <f>IF($B794="","",IFERROR(INDEX('Items'!$B$3:$B$202,MATCH($B794,'Items'!$A$3:$A$202,0)),""))</f>
        <v/>
      </c>
      <c r="D794" s="4" t="n"/>
      <c r="E794" s="4" t="n"/>
      <c r="F794" s="6" t="n"/>
      <c r="G794" s="4" t="n"/>
      <c r="H794" s="4" t="n"/>
      <c r="I794" s="4" t="n"/>
      <c r="J794" s="4" t="n"/>
    </row>
    <row r="795">
      <c r="A795" s="5" t="n"/>
      <c r="B795" s="4" t="n"/>
      <c r="C795" s="8">
        <f>IF($B795="","",IFERROR(INDEX('Items'!$B$3:$B$202,MATCH($B795,'Items'!$A$3:$A$202,0)),""))</f>
        <v/>
      </c>
      <c r="D795" s="4" t="n"/>
      <c r="E795" s="4" t="n"/>
      <c r="F795" s="6" t="n"/>
      <c r="G795" s="4" t="n"/>
      <c r="H795" s="4" t="n"/>
      <c r="I795" s="4" t="n"/>
      <c r="J795" s="4" t="n"/>
    </row>
    <row r="796">
      <c r="A796" s="5" t="n"/>
      <c r="B796" s="4" t="n"/>
      <c r="C796" s="8">
        <f>IF($B796="","",IFERROR(INDEX('Items'!$B$3:$B$202,MATCH($B796,'Items'!$A$3:$A$202,0)),""))</f>
        <v/>
      </c>
      <c r="D796" s="4" t="n"/>
      <c r="E796" s="4" t="n"/>
      <c r="F796" s="6" t="n"/>
      <c r="G796" s="4" t="n"/>
      <c r="H796" s="4" t="n"/>
      <c r="I796" s="4" t="n"/>
      <c r="J796" s="4" t="n"/>
    </row>
    <row r="797">
      <c r="A797" s="5" t="n"/>
      <c r="B797" s="4" t="n"/>
      <c r="C797" s="8">
        <f>IF($B797="","",IFERROR(INDEX('Items'!$B$3:$B$202,MATCH($B797,'Items'!$A$3:$A$202,0)),""))</f>
        <v/>
      </c>
      <c r="D797" s="4" t="n"/>
      <c r="E797" s="4" t="n"/>
      <c r="F797" s="6" t="n"/>
      <c r="G797" s="4" t="n"/>
      <c r="H797" s="4" t="n"/>
      <c r="I797" s="4" t="n"/>
      <c r="J797" s="4" t="n"/>
    </row>
    <row r="798">
      <c r="A798" s="5" t="n"/>
      <c r="B798" s="4" t="n"/>
      <c r="C798" s="8">
        <f>IF($B798="","",IFERROR(INDEX('Items'!$B$3:$B$202,MATCH($B798,'Items'!$A$3:$A$202,0)),""))</f>
        <v/>
      </c>
      <c r="D798" s="4" t="n"/>
      <c r="E798" s="4" t="n"/>
      <c r="F798" s="6" t="n"/>
      <c r="G798" s="4" t="n"/>
      <c r="H798" s="4" t="n"/>
      <c r="I798" s="4" t="n"/>
      <c r="J798" s="4" t="n"/>
    </row>
    <row r="799">
      <c r="A799" s="5" t="n"/>
      <c r="B799" s="4" t="n"/>
      <c r="C799" s="8">
        <f>IF($B799="","",IFERROR(INDEX('Items'!$B$3:$B$202,MATCH($B799,'Items'!$A$3:$A$202,0)),""))</f>
        <v/>
      </c>
      <c r="D799" s="4" t="n"/>
      <c r="E799" s="4" t="n"/>
      <c r="F799" s="6" t="n"/>
      <c r="G799" s="4" t="n"/>
      <c r="H799" s="4" t="n"/>
      <c r="I799" s="4" t="n"/>
      <c r="J799" s="4" t="n"/>
    </row>
    <row r="800">
      <c r="A800" s="5" t="n"/>
      <c r="B800" s="4" t="n"/>
      <c r="C800" s="8">
        <f>IF($B800="","",IFERROR(INDEX('Items'!$B$3:$B$202,MATCH($B800,'Items'!$A$3:$A$202,0)),""))</f>
        <v/>
      </c>
      <c r="D800" s="4" t="n"/>
      <c r="E800" s="4" t="n"/>
      <c r="F800" s="6" t="n"/>
      <c r="G800" s="4" t="n"/>
      <c r="H800" s="4" t="n"/>
      <c r="I800" s="4" t="n"/>
      <c r="J800" s="4" t="n"/>
    </row>
    <row r="801">
      <c r="A801" s="5" t="n"/>
      <c r="B801" s="4" t="n"/>
      <c r="C801" s="8">
        <f>IF($B801="","",IFERROR(INDEX('Items'!$B$3:$B$202,MATCH($B801,'Items'!$A$3:$A$202,0)),""))</f>
        <v/>
      </c>
      <c r="D801" s="4" t="n"/>
      <c r="E801" s="4" t="n"/>
      <c r="F801" s="6" t="n"/>
      <c r="G801" s="4" t="n"/>
      <c r="H801" s="4" t="n"/>
      <c r="I801" s="4" t="n"/>
      <c r="J801" s="4" t="n"/>
    </row>
    <row r="802">
      <c r="A802" s="5" t="n"/>
      <c r="B802" s="4" t="n"/>
      <c r="C802" s="8">
        <f>IF($B802="","",IFERROR(INDEX('Items'!$B$3:$B$202,MATCH($B802,'Items'!$A$3:$A$202,0)),""))</f>
        <v/>
      </c>
      <c r="D802" s="4" t="n"/>
      <c r="E802" s="4" t="n"/>
      <c r="F802" s="6" t="n"/>
      <c r="G802" s="4" t="n"/>
      <c r="H802" s="4" t="n"/>
      <c r="I802" s="4" t="n"/>
      <c r="J802" s="4" t="n"/>
    </row>
    <row r="803">
      <c r="A803" s="5" t="n"/>
      <c r="B803" s="4" t="n"/>
      <c r="C803" s="8">
        <f>IF($B803="","",IFERROR(INDEX('Items'!$B$3:$B$202,MATCH($B803,'Items'!$A$3:$A$202,0)),""))</f>
        <v/>
      </c>
      <c r="D803" s="4" t="n"/>
      <c r="E803" s="4" t="n"/>
      <c r="F803" s="6" t="n"/>
      <c r="G803" s="4" t="n"/>
      <c r="H803" s="4" t="n"/>
      <c r="I803" s="4" t="n"/>
      <c r="J803" s="4" t="n"/>
    </row>
    <row r="804">
      <c r="A804" s="5" t="n"/>
      <c r="B804" s="4" t="n"/>
      <c r="C804" s="8">
        <f>IF($B804="","",IFERROR(INDEX('Items'!$B$3:$B$202,MATCH($B804,'Items'!$A$3:$A$202,0)),""))</f>
        <v/>
      </c>
      <c r="D804" s="4" t="n"/>
      <c r="E804" s="4" t="n"/>
      <c r="F804" s="6" t="n"/>
      <c r="G804" s="4" t="n"/>
      <c r="H804" s="4" t="n"/>
      <c r="I804" s="4" t="n"/>
      <c r="J804" s="4" t="n"/>
    </row>
    <row r="805">
      <c r="A805" s="5" t="n"/>
      <c r="B805" s="4" t="n"/>
      <c r="C805" s="8">
        <f>IF($B805="","",IFERROR(INDEX('Items'!$B$3:$B$202,MATCH($B805,'Items'!$A$3:$A$202,0)),""))</f>
        <v/>
      </c>
      <c r="D805" s="4" t="n"/>
      <c r="E805" s="4" t="n"/>
      <c r="F805" s="6" t="n"/>
      <c r="G805" s="4" t="n"/>
      <c r="H805" s="4" t="n"/>
      <c r="I805" s="4" t="n"/>
      <c r="J805" s="4" t="n"/>
    </row>
    <row r="806">
      <c r="A806" s="5" t="n"/>
      <c r="B806" s="4" t="n"/>
      <c r="C806" s="8">
        <f>IF($B806="","",IFERROR(INDEX('Items'!$B$3:$B$202,MATCH($B806,'Items'!$A$3:$A$202,0)),""))</f>
        <v/>
      </c>
      <c r="D806" s="4" t="n"/>
      <c r="E806" s="4" t="n"/>
      <c r="F806" s="6" t="n"/>
      <c r="G806" s="4" t="n"/>
      <c r="H806" s="4" t="n"/>
      <c r="I806" s="4" t="n"/>
      <c r="J806" s="4" t="n"/>
    </row>
    <row r="807">
      <c r="A807" s="5" t="n"/>
      <c r="B807" s="4" t="n"/>
      <c r="C807" s="8">
        <f>IF($B807="","",IFERROR(INDEX('Items'!$B$3:$B$202,MATCH($B807,'Items'!$A$3:$A$202,0)),""))</f>
        <v/>
      </c>
      <c r="D807" s="4" t="n"/>
      <c r="E807" s="4" t="n"/>
      <c r="F807" s="6" t="n"/>
      <c r="G807" s="4" t="n"/>
      <c r="H807" s="4" t="n"/>
      <c r="I807" s="4" t="n"/>
      <c r="J807" s="4" t="n"/>
    </row>
    <row r="808">
      <c r="A808" s="5" t="n"/>
      <c r="B808" s="4" t="n"/>
      <c r="C808" s="8">
        <f>IF($B808="","",IFERROR(INDEX('Items'!$B$3:$B$202,MATCH($B808,'Items'!$A$3:$A$202,0)),""))</f>
        <v/>
      </c>
      <c r="D808" s="4" t="n"/>
      <c r="E808" s="4" t="n"/>
      <c r="F808" s="6" t="n"/>
      <c r="G808" s="4" t="n"/>
      <c r="H808" s="4" t="n"/>
      <c r="I808" s="4" t="n"/>
      <c r="J808" s="4" t="n"/>
    </row>
    <row r="809">
      <c r="A809" s="5" t="n"/>
      <c r="B809" s="4" t="n"/>
      <c r="C809" s="8">
        <f>IF($B809="","",IFERROR(INDEX('Items'!$B$3:$B$202,MATCH($B809,'Items'!$A$3:$A$202,0)),""))</f>
        <v/>
      </c>
      <c r="D809" s="4" t="n"/>
      <c r="E809" s="4" t="n"/>
      <c r="F809" s="6" t="n"/>
      <c r="G809" s="4" t="n"/>
      <c r="H809" s="4" t="n"/>
      <c r="I809" s="4" t="n"/>
      <c r="J809" s="4" t="n"/>
    </row>
    <row r="810">
      <c r="A810" s="5" t="n"/>
      <c r="B810" s="4" t="n"/>
      <c r="C810" s="8">
        <f>IF($B810="","",IFERROR(INDEX('Items'!$B$3:$B$202,MATCH($B810,'Items'!$A$3:$A$202,0)),""))</f>
        <v/>
      </c>
      <c r="D810" s="4" t="n"/>
      <c r="E810" s="4" t="n"/>
      <c r="F810" s="6" t="n"/>
      <c r="G810" s="4" t="n"/>
      <c r="H810" s="4" t="n"/>
      <c r="I810" s="4" t="n"/>
      <c r="J810" s="4" t="n"/>
    </row>
    <row r="811">
      <c r="A811" s="5" t="n"/>
      <c r="B811" s="4" t="n"/>
      <c r="C811" s="8">
        <f>IF($B811="","",IFERROR(INDEX('Items'!$B$3:$B$202,MATCH($B811,'Items'!$A$3:$A$202,0)),""))</f>
        <v/>
      </c>
      <c r="D811" s="4" t="n"/>
      <c r="E811" s="4" t="n"/>
      <c r="F811" s="6" t="n"/>
      <c r="G811" s="4" t="n"/>
      <c r="H811" s="4" t="n"/>
      <c r="I811" s="4" t="n"/>
      <c r="J811" s="4" t="n"/>
    </row>
    <row r="812">
      <c r="A812" s="5" t="n"/>
      <c r="B812" s="4" t="n"/>
      <c r="C812" s="8">
        <f>IF($B812="","",IFERROR(INDEX('Items'!$B$3:$B$202,MATCH($B812,'Items'!$A$3:$A$202,0)),""))</f>
        <v/>
      </c>
      <c r="D812" s="4" t="n"/>
      <c r="E812" s="4" t="n"/>
      <c r="F812" s="6" t="n"/>
      <c r="G812" s="4" t="n"/>
      <c r="H812" s="4" t="n"/>
      <c r="I812" s="4" t="n"/>
      <c r="J812" s="4" t="n"/>
    </row>
    <row r="813">
      <c r="A813" s="5" t="n"/>
      <c r="B813" s="4" t="n"/>
      <c r="C813" s="8">
        <f>IF($B813="","",IFERROR(INDEX('Items'!$B$3:$B$202,MATCH($B813,'Items'!$A$3:$A$202,0)),""))</f>
        <v/>
      </c>
      <c r="D813" s="4" t="n"/>
      <c r="E813" s="4" t="n"/>
      <c r="F813" s="6" t="n"/>
      <c r="G813" s="4" t="n"/>
      <c r="H813" s="4" t="n"/>
      <c r="I813" s="4" t="n"/>
      <c r="J813" s="4" t="n"/>
    </row>
    <row r="814">
      <c r="A814" s="5" t="n"/>
      <c r="B814" s="4" t="n"/>
      <c r="C814" s="8">
        <f>IF($B814="","",IFERROR(INDEX('Items'!$B$3:$B$202,MATCH($B814,'Items'!$A$3:$A$202,0)),""))</f>
        <v/>
      </c>
      <c r="D814" s="4" t="n"/>
      <c r="E814" s="4" t="n"/>
      <c r="F814" s="6" t="n"/>
      <c r="G814" s="4" t="n"/>
      <c r="H814" s="4" t="n"/>
      <c r="I814" s="4" t="n"/>
      <c r="J814" s="4" t="n"/>
    </row>
    <row r="815">
      <c r="A815" s="5" t="n"/>
      <c r="B815" s="4" t="n"/>
      <c r="C815" s="8">
        <f>IF($B815="","",IFERROR(INDEX('Items'!$B$3:$B$202,MATCH($B815,'Items'!$A$3:$A$202,0)),""))</f>
        <v/>
      </c>
      <c r="D815" s="4" t="n"/>
      <c r="E815" s="4" t="n"/>
      <c r="F815" s="6" t="n"/>
      <c r="G815" s="4" t="n"/>
      <c r="H815" s="4" t="n"/>
      <c r="I815" s="4" t="n"/>
      <c r="J815" s="4" t="n"/>
    </row>
    <row r="816">
      <c r="A816" s="5" t="n"/>
      <c r="B816" s="4" t="n"/>
      <c r="C816" s="8">
        <f>IF($B816="","",IFERROR(INDEX('Items'!$B$3:$B$202,MATCH($B816,'Items'!$A$3:$A$202,0)),""))</f>
        <v/>
      </c>
      <c r="D816" s="4" t="n"/>
      <c r="E816" s="4" t="n"/>
      <c r="F816" s="6" t="n"/>
      <c r="G816" s="4" t="n"/>
      <c r="H816" s="4" t="n"/>
      <c r="I816" s="4" t="n"/>
      <c r="J816" s="4" t="n"/>
    </row>
    <row r="817">
      <c r="A817" s="5" t="n"/>
      <c r="B817" s="4" t="n"/>
      <c r="C817" s="8">
        <f>IF($B817="","",IFERROR(INDEX('Items'!$B$3:$B$202,MATCH($B817,'Items'!$A$3:$A$202,0)),""))</f>
        <v/>
      </c>
      <c r="D817" s="4" t="n"/>
      <c r="E817" s="4" t="n"/>
      <c r="F817" s="6" t="n"/>
      <c r="G817" s="4" t="n"/>
      <c r="H817" s="4" t="n"/>
      <c r="I817" s="4" t="n"/>
      <c r="J817" s="4" t="n"/>
    </row>
    <row r="818">
      <c r="A818" s="5" t="n"/>
      <c r="B818" s="4" t="n"/>
      <c r="C818" s="8">
        <f>IF($B818="","",IFERROR(INDEX('Items'!$B$3:$B$202,MATCH($B818,'Items'!$A$3:$A$202,0)),""))</f>
        <v/>
      </c>
      <c r="D818" s="4" t="n"/>
      <c r="E818" s="4" t="n"/>
      <c r="F818" s="6" t="n"/>
      <c r="G818" s="4" t="n"/>
      <c r="H818" s="4" t="n"/>
      <c r="I818" s="4" t="n"/>
      <c r="J818" s="4" t="n"/>
    </row>
    <row r="819">
      <c r="A819" s="5" t="n"/>
      <c r="B819" s="4" t="n"/>
      <c r="C819" s="8">
        <f>IF($B819="","",IFERROR(INDEX('Items'!$B$3:$B$202,MATCH($B819,'Items'!$A$3:$A$202,0)),""))</f>
        <v/>
      </c>
      <c r="D819" s="4" t="n"/>
      <c r="E819" s="4" t="n"/>
      <c r="F819" s="6" t="n"/>
      <c r="G819" s="4" t="n"/>
      <c r="H819" s="4" t="n"/>
      <c r="I819" s="4" t="n"/>
      <c r="J819" s="4" t="n"/>
    </row>
    <row r="820">
      <c r="A820" s="5" t="n"/>
      <c r="B820" s="4" t="n"/>
      <c r="C820" s="8">
        <f>IF($B820="","",IFERROR(INDEX('Items'!$B$3:$B$202,MATCH($B820,'Items'!$A$3:$A$202,0)),""))</f>
        <v/>
      </c>
      <c r="D820" s="4" t="n"/>
      <c r="E820" s="4" t="n"/>
      <c r="F820" s="6" t="n"/>
      <c r="G820" s="4" t="n"/>
      <c r="H820" s="4" t="n"/>
      <c r="I820" s="4" t="n"/>
      <c r="J820" s="4" t="n"/>
    </row>
    <row r="821">
      <c r="A821" s="5" t="n"/>
      <c r="B821" s="4" t="n"/>
      <c r="C821" s="8">
        <f>IF($B821="","",IFERROR(INDEX('Items'!$B$3:$B$202,MATCH($B821,'Items'!$A$3:$A$202,0)),""))</f>
        <v/>
      </c>
      <c r="D821" s="4" t="n"/>
      <c r="E821" s="4" t="n"/>
      <c r="F821" s="6" t="n"/>
      <c r="G821" s="4" t="n"/>
      <c r="H821" s="4" t="n"/>
      <c r="I821" s="4" t="n"/>
      <c r="J821" s="4" t="n"/>
    </row>
    <row r="822">
      <c r="A822" s="5" t="n"/>
      <c r="B822" s="4" t="n"/>
      <c r="C822" s="8">
        <f>IF($B822="","",IFERROR(INDEX('Items'!$B$3:$B$202,MATCH($B822,'Items'!$A$3:$A$202,0)),""))</f>
        <v/>
      </c>
      <c r="D822" s="4" t="n"/>
      <c r="E822" s="4" t="n"/>
      <c r="F822" s="6" t="n"/>
      <c r="G822" s="4" t="n"/>
      <c r="H822" s="4" t="n"/>
      <c r="I822" s="4" t="n"/>
      <c r="J822" s="4" t="n"/>
    </row>
    <row r="823">
      <c r="A823" s="5" t="n"/>
      <c r="B823" s="4" t="n"/>
      <c r="C823" s="8">
        <f>IF($B823="","",IFERROR(INDEX('Items'!$B$3:$B$202,MATCH($B823,'Items'!$A$3:$A$202,0)),""))</f>
        <v/>
      </c>
      <c r="D823" s="4" t="n"/>
      <c r="E823" s="4" t="n"/>
      <c r="F823" s="6" t="n"/>
      <c r="G823" s="4" t="n"/>
      <c r="H823" s="4" t="n"/>
      <c r="I823" s="4" t="n"/>
      <c r="J823" s="4" t="n"/>
    </row>
    <row r="824">
      <c r="A824" s="5" t="n"/>
      <c r="B824" s="4" t="n"/>
      <c r="C824" s="8">
        <f>IF($B824="","",IFERROR(INDEX('Items'!$B$3:$B$202,MATCH($B824,'Items'!$A$3:$A$202,0)),""))</f>
        <v/>
      </c>
      <c r="D824" s="4" t="n"/>
      <c r="E824" s="4" t="n"/>
      <c r="F824" s="6" t="n"/>
      <c r="G824" s="4" t="n"/>
      <c r="H824" s="4" t="n"/>
      <c r="I824" s="4" t="n"/>
      <c r="J824" s="4" t="n"/>
    </row>
    <row r="825">
      <c r="A825" s="5" t="n"/>
      <c r="B825" s="4" t="n"/>
      <c r="C825" s="8">
        <f>IF($B825="","",IFERROR(INDEX('Items'!$B$3:$B$202,MATCH($B825,'Items'!$A$3:$A$202,0)),""))</f>
        <v/>
      </c>
      <c r="D825" s="4" t="n"/>
      <c r="E825" s="4" t="n"/>
      <c r="F825" s="6" t="n"/>
      <c r="G825" s="4" t="n"/>
      <c r="H825" s="4" t="n"/>
      <c r="I825" s="4" t="n"/>
      <c r="J825" s="4" t="n"/>
    </row>
    <row r="826">
      <c r="A826" s="5" t="n"/>
      <c r="B826" s="4" t="n"/>
      <c r="C826" s="8">
        <f>IF($B826="","",IFERROR(INDEX('Items'!$B$3:$B$202,MATCH($B826,'Items'!$A$3:$A$202,0)),""))</f>
        <v/>
      </c>
      <c r="D826" s="4" t="n"/>
      <c r="E826" s="4" t="n"/>
      <c r="F826" s="6" t="n"/>
      <c r="G826" s="4" t="n"/>
      <c r="H826" s="4" t="n"/>
      <c r="I826" s="4" t="n"/>
      <c r="J826" s="4" t="n"/>
    </row>
    <row r="827">
      <c r="A827" s="5" t="n"/>
      <c r="B827" s="4" t="n"/>
      <c r="C827" s="8">
        <f>IF($B827="","",IFERROR(INDEX('Items'!$B$3:$B$202,MATCH($B827,'Items'!$A$3:$A$202,0)),""))</f>
        <v/>
      </c>
      <c r="D827" s="4" t="n"/>
      <c r="E827" s="4" t="n"/>
      <c r="F827" s="6" t="n"/>
      <c r="G827" s="4" t="n"/>
      <c r="H827" s="4" t="n"/>
      <c r="I827" s="4" t="n"/>
      <c r="J827" s="4" t="n"/>
    </row>
    <row r="828">
      <c r="A828" s="5" t="n"/>
      <c r="B828" s="4" t="n"/>
      <c r="C828" s="8">
        <f>IF($B828="","",IFERROR(INDEX('Items'!$B$3:$B$202,MATCH($B828,'Items'!$A$3:$A$202,0)),""))</f>
        <v/>
      </c>
      <c r="D828" s="4" t="n"/>
      <c r="E828" s="4" t="n"/>
      <c r="F828" s="6" t="n"/>
      <c r="G828" s="4" t="n"/>
      <c r="H828" s="4" t="n"/>
      <c r="I828" s="4" t="n"/>
      <c r="J828" s="4" t="n"/>
    </row>
    <row r="829">
      <c r="A829" s="5" t="n"/>
      <c r="B829" s="4" t="n"/>
      <c r="C829" s="8">
        <f>IF($B829="","",IFERROR(INDEX('Items'!$B$3:$B$202,MATCH($B829,'Items'!$A$3:$A$202,0)),""))</f>
        <v/>
      </c>
      <c r="D829" s="4" t="n"/>
      <c r="E829" s="4" t="n"/>
      <c r="F829" s="6" t="n"/>
      <c r="G829" s="4" t="n"/>
      <c r="H829" s="4" t="n"/>
      <c r="I829" s="4" t="n"/>
      <c r="J829" s="4" t="n"/>
    </row>
    <row r="830">
      <c r="A830" s="5" t="n"/>
      <c r="B830" s="4" t="n"/>
      <c r="C830" s="8">
        <f>IF($B830="","",IFERROR(INDEX('Items'!$B$3:$B$202,MATCH($B830,'Items'!$A$3:$A$202,0)),""))</f>
        <v/>
      </c>
      <c r="D830" s="4" t="n"/>
      <c r="E830" s="4" t="n"/>
      <c r="F830" s="6" t="n"/>
      <c r="G830" s="4" t="n"/>
      <c r="H830" s="4" t="n"/>
      <c r="I830" s="4" t="n"/>
      <c r="J830" s="4" t="n"/>
    </row>
    <row r="831">
      <c r="A831" s="5" t="n"/>
      <c r="B831" s="4" t="n"/>
      <c r="C831" s="8">
        <f>IF($B831="","",IFERROR(INDEX('Items'!$B$3:$B$202,MATCH($B831,'Items'!$A$3:$A$202,0)),""))</f>
        <v/>
      </c>
      <c r="D831" s="4" t="n"/>
      <c r="E831" s="4" t="n"/>
      <c r="F831" s="6" t="n"/>
      <c r="G831" s="4" t="n"/>
      <c r="H831" s="4" t="n"/>
      <c r="I831" s="4" t="n"/>
      <c r="J831" s="4" t="n"/>
    </row>
    <row r="832">
      <c r="A832" s="5" t="n"/>
      <c r="B832" s="4" t="n"/>
      <c r="C832" s="8">
        <f>IF($B832="","",IFERROR(INDEX('Items'!$B$3:$B$202,MATCH($B832,'Items'!$A$3:$A$202,0)),""))</f>
        <v/>
      </c>
      <c r="D832" s="4" t="n"/>
      <c r="E832" s="4" t="n"/>
      <c r="F832" s="6" t="n"/>
      <c r="G832" s="4" t="n"/>
      <c r="H832" s="4" t="n"/>
      <c r="I832" s="4" t="n"/>
      <c r="J832" s="4" t="n"/>
    </row>
    <row r="833">
      <c r="A833" s="5" t="n"/>
      <c r="B833" s="4" t="n"/>
      <c r="C833" s="8">
        <f>IF($B833="","",IFERROR(INDEX('Items'!$B$3:$B$202,MATCH($B833,'Items'!$A$3:$A$202,0)),""))</f>
        <v/>
      </c>
      <c r="D833" s="4" t="n"/>
      <c r="E833" s="4" t="n"/>
      <c r="F833" s="6" t="n"/>
      <c r="G833" s="4" t="n"/>
      <c r="H833" s="4" t="n"/>
      <c r="I833" s="4" t="n"/>
      <c r="J833" s="4" t="n"/>
    </row>
    <row r="834">
      <c r="A834" s="5" t="n"/>
      <c r="B834" s="4" t="n"/>
      <c r="C834" s="8">
        <f>IF($B834="","",IFERROR(INDEX('Items'!$B$3:$B$202,MATCH($B834,'Items'!$A$3:$A$202,0)),""))</f>
        <v/>
      </c>
      <c r="D834" s="4" t="n"/>
      <c r="E834" s="4" t="n"/>
      <c r="F834" s="6" t="n"/>
      <c r="G834" s="4" t="n"/>
      <c r="H834" s="4" t="n"/>
      <c r="I834" s="4" t="n"/>
      <c r="J834" s="4" t="n"/>
    </row>
    <row r="835">
      <c r="A835" s="5" t="n"/>
      <c r="B835" s="4" t="n"/>
      <c r="C835" s="8">
        <f>IF($B835="","",IFERROR(INDEX('Items'!$B$3:$B$202,MATCH($B835,'Items'!$A$3:$A$202,0)),""))</f>
        <v/>
      </c>
      <c r="D835" s="4" t="n"/>
      <c r="E835" s="4" t="n"/>
      <c r="F835" s="6" t="n"/>
      <c r="G835" s="4" t="n"/>
      <c r="H835" s="4" t="n"/>
      <c r="I835" s="4" t="n"/>
      <c r="J835" s="4" t="n"/>
    </row>
    <row r="836">
      <c r="A836" s="5" t="n"/>
      <c r="B836" s="4" t="n"/>
      <c r="C836" s="8">
        <f>IF($B836="","",IFERROR(INDEX('Items'!$B$3:$B$202,MATCH($B836,'Items'!$A$3:$A$202,0)),""))</f>
        <v/>
      </c>
      <c r="D836" s="4" t="n"/>
      <c r="E836" s="4" t="n"/>
      <c r="F836" s="6" t="n"/>
      <c r="G836" s="4" t="n"/>
      <c r="H836" s="4" t="n"/>
      <c r="I836" s="4" t="n"/>
      <c r="J836" s="4" t="n"/>
    </row>
    <row r="837">
      <c r="A837" s="5" t="n"/>
      <c r="B837" s="4" t="n"/>
      <c r="C837" s="8">
        <f>IF($B837="","",IFERROR(INDEX('Items'!$B$3:$B$202,MATCH($B837,'Items'!$A$3:$A$202,0)),""))</f>
        <v/>
      </c>
      <c r="D837" s="4" t="n"/>
      <c r="E837" s="4" t="n"/>
      <c r="F837" s="6" t="n"/>
      <c r="G837" s="4" t="n"/>
      <c r="H837" s="4" t="n"/>
      <c r="I837" s="4" t="n"/>
      <c r="J837" s="4" t="n"/>
    </row>
    <row r="838">
      <c r="A838" s="5" t="n"/>
      <c r="B838" s="4" t="n"/>
      <c r="C838" s="8">
        <f>IF($B838="","",IFERROR(INDEX('Items'!$B$3:$B$202,MATCH($B838,'Items'!$A$3:$A$202,0)),""))</f>
        <v/>
      </c>
      <c r="D838" s="4" t="n"/>
      <c r="E838" s="4" t="n"/>
      <c r="F838" s="6" t="n"/>
      <c r="G838" s="4" t="n"/>
      <c r="H838" s="4" t="n"/>
      <c r="I838" s="4" t="n"/>
      <c r="J838" s="4" t="n"/>
    </row>
    <row r="839">
      <c r="A839" s="5" t="n"/>
      <c r="B839" s="4" t="n"/>
      <c r="C839" s="8">
        <f>IF($B839="","",IFERROR(INDEX('Items'!$B$3:$B$202,MATCH($B839,'Items'!$A$3:$A$202,0)),""))</f>
        <v/>
      </c>
      <c r="D839" s="4" t="n"/>
      <c r="E839" s="4" t="n"/>
      <c r="F839" s="6" t="n"/>
      <c r="G839" s="4" t="n"/>
      <c r="H839" s="4" t="n"/>
      <c r="I839" s="4" t="n"/>
      <c r="J839" s="4" t="n"/>
    </row>
    <row r="840">
      <c r="A840" s="5" t="n"/>
      <c r="B840" s="4" t="n"/>
      <c r="C840" s="8">
        <f>IF($B840="","",IFERROR(INDEX('Items'!$B$3:$B$202,MATCH($B840,'Items'!$A$3:$A$202,0)),""))</f>
        <v/>
      </c>
      <c r="D840" s="4" t="n"/>
      <c r="E840" s="4" t="n"/>
      <c r="F840" s="6" t="n"/>
      <c r="G840" s="4" t="n"/>
      <c r="H840" s="4" t="n"/>
      <c r="I840" s="4" t="n"/>
      <c r="J840" s="4" t="n"/>
    </row>
    <row r="841">
      <c r="A841" s="5" t="n"/>
      <c r="B841" s="4" t="n"/>
      <c r="C841" s="8">
        <f>IF($B841="","",IFERROR(INDEX('Items'!$B$3:$B$202,MATCH($B841,'Items'!$A$3:$A$202,0)),""))</f>
        <v/>
      </c>
      <c r="D841" s="4" t="n"/>
      <c r="E841" s="4" t="n"/>
      <c r="F841" s="6" t="n"/>
      <c r="G841" s="4" t="n"/>
      <c r="H841" s="4" t="n"/>
      <c r="I841" s="4" t="n"/>
      <c r="J841" s="4" t="n"/>
    </row>
    <row r="842">
      <c r="A842" s="5" t="n"/>
      <c r="B842" s="4" t="n"/>
      <c r="C842" s="8">
        <f>IF($B842="","",IFERROR(INDEX('Items'!$B$3:$B$202,MATCH($B842,'Items'!$A$3:$A$202,0)),""))</f>
        <v/>
      </c>
      <c r="D842" s="4" t="n"/>
      <c r="E842" s="4" t="n"/>
      <c r="F842" s="6" t="n"/>
      <c r="G842" s="4" t="n"/>
      <c r="H842" s="4" t="n"/>
      <c r="I842" s="4" t="n"/>
      <c r="J842" s="4" t="n"/>
    </row>
    <row r="843">
      <c r="A843" s="5" t="n"/>
      <c r="B843" s="4" t="n"/>
      <c r="C843" s="8">
        <f>IF($B843="","",IFERROR(INDEX('Items'!$B$3:$B$202,MATCH($B843,'Items'!$A$3:$A$202,0)),""))</f>
        <v/>
      </c>
      <c r="D843" s="4" t="n"/>
      <c r="E843" s="4" t="n"/>
      <c r="F843" s="6" t="n"/>
      <c r="G843" s="4" t="n"/>
      <c r="H843" s="4" t="n"/>
      <c r="I843" s="4" t="n"/>
      <c r="J843" s="4" t="n"/>
    </row>
    <row r="844">
      <c r="A844" s="5" t="n"/>
      <c r="B844" s="4" t="n"/>
      <c r="C844" s="8">
        <f>IF($B844="","",IFERROR(INDEX('Items'!$B$3:$B$202,MATCH($B844,'Items'!$A$3:$A$202,0)),""))</f>
        <v/>
      </c>
      <c r="D844" s="4" t="n"/>
      <c r="E844" s="4" t="n"/>
      <c r="F844" s="6" t="n"/>
      <c r="G844" s="4" t="n"/>
      <c r="H844" s="4" t="n"/>
      <c r="I844" s="4" t="n"/>
      <c r="J844" s="4" t="n"/>
    </row>
    <row r="845">
      <c r="A845" s="5" t="n"/>
      <c r="B845" s="4" t="n"/>
      <c r="C845" s="8">
        <f>IF($B845="","",IFERROR(INDEX('Items'!$B$3:$B$202,MATCH($B845,'Items'!$A$3:$A$202,0)),""))</f>
        <v/>
      </c>
      <c r="D845" s="4" t="n"/>
      <c r="E845" s="4" t="n"/>
      <c r="F845" s="6" t="n"/>
      <c r="G845" s="4" t="n"/>
      <c r="H845" s="4" t="n"/>
      <c r="I845" s="4" t="n"/>
      <c r="J845" s="4" t="n"/>
    </row>
    <row r="846">
      <c r="A846" s="5" t="n"/>
      <c r="B846" s="4" t="n"/>
      <c r="C846" s="8">
        <f>IF($B846="","",IFERROR(INDEX('Items'!$B$3:$B$202,MATCH($B846,'Items'!$A$3:$A$202,0)),""))</f>
        <v/>
      </c>
      <c r="D846" s="4" t="n"/>
      <c r="E846" s="4" t="n"/>
      <c r="F846" s="6" t="n"/>
      <c r="G846" s="4" t="n"/>
      <c r="H846" s="4" t="n"/>
      <c r="I846" s="4" t="n"/>
      <c r="J846" s="4" t="n"/>
    </row>
    <row r="847">
      <c r="A847" s="5" t="n"/>
      <c r="B847" s="4" t="n"/>
      <c r="C847" s="8">
        <f>IF($B847="","",IFERROR(INDEX('Items'!$B$3:$B$202,MATCH($B847,'Items'!$A$3:$A$202,0)),""))</f>
        <v/>
      </c>
      <c r="D847" s="4" t="n"/>
      <c r="E847" s="4" t="n"/>
      <c r="F847" s="6" t="n"/>
      <c r="G847" s="4" t="n"/>
      <c r="H847" s="4" t="n"/>
      <c r="I847" s="4" t="n"/>
      <c r="J847" s="4" t="n"/>
    </row>
    <row r="848">
      <c r="A848" s="5" t="n"/>
      <c r="B848" s="4" t="n"/>
      <c r="C848" s="8">
        <f>IF($B848="","",IFERROR(INDEX('Items'!$B$3:$B$202,MATCH($B848,'Items'!$A$3:$A$202,0)),""))</f>
        <v/>
      </c>
      <c r="D848" s="4" t="n"/>
      <c r="E848" s="4" t="n"/>
      <c r="F848" s="6" t="n"/>
      <c r="G848" s="4" t="n"/>
      <c r="H848" s="4" t="n"/>
      <c r="I848" s="4" t="n"/>
      <c r="J848" s="4" t="n"/>
    </row>
    <row r="849">
      <c r="A849" s="5" t="n"/>
      <c r="B849" s="4" t="n"/>
      <c r="C849" s="8">
        <f>IF($B849="","",IFERROR(INDEX('Items'!$B$3:$B$202,MATCH($B849,'Items'!$A$3:$A$202,0)),""))</f>
        <v/>
      </c>
      <c r="D849" s="4" t="n"/>
      <c r="E849" s="4" t="n"/>
      <c r="F849" s="6" t="n"/>
      <c r="G849" s="4" t="n"/>
      <c r="H849" s="4" t="n"/>
      <c r="I849" s="4" t="n"/>
      <c r="J849" s="4" t="n"/>
    </row>
    <row r="850">
      <c r="A850" s="5" t="n"/>
      <c r="B850" s="4" t="n"/>
      <c r="C850" s="8">
        <f>IF($B850="","",IFERROR(INDEX('Items'!$B$3:$B$202,MATCH($B850,'Items'!$A$3:$A$202,0)),""))</f>
        <v/>
      </c>
      <c r="D850" s="4" t="n"/>
      <c r="E850" s="4" t="n"/>
      <c r="F850" s="6" t="n"/>
      <c r="G850" s="4" t="n"/>
      <c r="H850" s="4" t="n"/>
      <c r="I850" s="4" t="n"/>
      <c r="J850" s="4" t="n"/>
    </row>
    <row r="851">
      <c r="A851" s="5" t="n"/>
      <c r="B851" s="4" t="n"/>
      <c r="C851" s="8">
        <f>IF($B851="","",IFERROR(INDEX('Items'!$B$3:$B$202,MATCH($B851,'Items'!$A$3:$A$202,0)),""))</f>
        <v/>
      </c>
      <c r="D851" s="4" t="n"/>
      <c r="E851" s="4" t="n"/>
      <c r="F851" s="6" t="n"/>
      <c r="G851" s="4" t="n"/>
      <c r="H851" s="4" t="n"/>
      <c r="I851" s="4" t="n"/>
      <c r="J851" s="4" t="n"/>
    </row>
    <row r="852">
      <c r="A852" s="5" t="n"/>
      <c r="B852" s="4" t="n"/>
      <c r="C852" s="8">
        <f>IF($B852="","",IFERROR(INDEX('Items'!$B$3:$B$202,MATCH($B852,'Items'!$A$3:$A$202,0)),""))</f>
        <v/>
      </c>
      <c r="D852" s="4" t="n"/>
      <c r="E852" s="4" t="n"/>
      <c r="F852" s="6" t="n"/>
      <c r="G852" s="4" t="n"/>
      <c r="H852" s="4" t="n"/>
      <c r="I852" s="4" t="n"/>
      <c r="J852" s="4" t="n"/>
    </row>
    <row r="853">
      <c r="A853" s="5" t="n"/>
      <c r="B853" s="4" t="n"/>
      <c r="C853" s="8">
        <f>IF($B853="","",IFERROR(INDEX('Items'!$B$3:$B$202,MATCH($B853,'Items'!$A$3:$A$202,0)),""))</f>
        <v/>
      </c>
      <c r="D853" s="4" t="n"/>
      <c r="E853" s="4" t="n"/>
      <c r="F853" s="6" t="n"/>
      <c r="G853" s="4" t="n"/>
      <c r="H853" s="4" t="n"/>
      <c r="I853" s="4" t="n"/>
      <c r="J853" s="4" t="n"/>
    </row>
    <row r="854">
      <c r="A854" s="5" t="n"/>
      <c r="B854" s="4" t="n"/>
      <c r="C854" s="8">
        <f>IF($B854="","",IFERROR(INDEX('Items'!$B$3:$B$202,MATCH($B854,'Items'!$A$3:$A$202,0)),""))</f>
        <v/>
      </c>
      <c r="D854" s="4" t="n"/>
      <c r="E854" s="4" t="n"/>
      <c r="F854" s="6" t="n"/>
      <c r="G854" s="4" t="n"/>
      <c r="H854" s="4" t="n"/>
      <c r="I854" s="4" t="n"/>
      <c r="J854" s="4" t="n"/>
    </row>
    <row r="855">
      <c r="A855" s="5" t="n"/>
      <c r="B855" s="4" t="n"/>
      <c r="C855" s="8">
        <f>IF($B855="","",IFERROR(INDEX('Items'!$B$3:$B$202,MATCH($B855,'Items'!$A$3:$A$202,0)),""))</f>
        <v/>
      </c>
      <c r="D855" s="4" t="n"/>
      <c r="E855" s="4" t="n"/>
      <c r="F855" s="6" t="n"/>
      <c r="G855" s="4" t="n"/>
      <c r="H855" s="4" t="n"/>
      <c r="I855" s="4" t="n"/>
      <c r="J855" s="4" t="n"/>
    </row>
    <row r="856">
      <c r="A856" s="5" t="n"/>
      <c r="B856" s="4" t="n"/>
      <c r="C856" s="8">
        <f>IF($B856="","",IFERROR(INDEX('Items'!$B$3:$B$202,MATCH($B856,'Items'!$A$3:$A$202,0)),""))</f>
        <v/>
      </c>
      <c r="D856" s="4" t="n"/>
      <c r="E856" s="4" t="n"/>
      <c r="F856" s="6" t="n"/>
      <c r="G856" s="4" t="n"/>
      <c r="H856" s="4" t="n"/>
      <c r="I856" s="4" t="n"/>
      <c r="J856" s="4" t="n"/>
    </row>
    <row r="857">
      <c r="A857" s="5" t="n"/>
      <c r="B857" s="4" t="n"/>
      <c r="C857" s="8">
        <f>IF($B857="","",IFERROR(INDEX('Items'!$B$3:$B$202,MATCH($B857,'Items'!$A$3:$A$202,0)),""))</f>
        <v/>
      </c>
      <c r="D857" s="4" t="n"/>
      <c r="E857" s="4" t="n"/>
      <c r="F857" s="6" t="n"/>
      <c r="G857" s="4" t="n"/>
      <c r="H857" s="4" t="n"/>
      <c r="I857" s="4" t="n"/>
      <c r="J857" s="4" t="n"/>
    </row>
    <row r="858">
      <c r="A858" s="5" t="n"/>
      <c r="B858" s="4" t="n"/>
      <c r="C858" s="8">
        <f>IF($B858="","",IFERROR(INDEX('Items'!$B$3:$B$202,MATCH($B858,'Items'!$A$3:$A$202,0)),""))</f>
        <v/>
      </c>
      <c r="D858" s="4" t="n"/>
      <c r="E858" s="4" t="n"/>
      <c r="F858" s="6" t="n"/>
      <c r="G858" s="4" t="n"/>
      <c r="H858" s="4" t="n"/>
      <c r="I858" s="4" t="n"/>
      <c r="J858" s="4" t="n"/>
    </row>
    <row r="859">
      <c r="A859" s="5" t="n"/>
      <c r="B859" s="4" t="n"/>
      <c r="C859" s="8">
        <f>IF($B859="","",IFERROR(INDEX('Items'!$B$3:$B$202,MATCH($B859,'Items'!$A$3:$A$202,0)),""))</f>
        <v/>
      </c>
      <c r="D859" s="4" t="n"/>
      <c r="E859" s="4" t="n"/>
      <c r="F859" s="6" t="n"/>
      <c r="G859" s="4" t="n"/>
      <c r="H859" s="4" t="n"/>
      <c r="I859" s="4" t="n"/>
      <c r="J859" s="4" t="n"/>
    </row>
    <row r="860">
      <c r="A860" s="5" t="n"/>
      <c r="B860" s="4" t="n"/>
      <c r="C860" s="8">
        <f>IF($B860="","",IFERROR(INDEX('Items'!$B$3:$B$202,MATCH($B860,'Items'!$A$3:$A$202,0)),""))</f>
        <v/>
      </c>
      <c r="D860" s="4" t="n"/>
      <c r="E860" s="4" t="n"/>
      <c r="F860" s="6" t="n"/>
      <c r="G860" s="4" t="n"/>
      <c r="H860" s="4" t="n"/>
      <c r="I860" s="4" t="n"/>
      <c r="J860" s="4" t="n"/>
    </row>
    <row r="861">
      <c r="A861" s="5" t="n"/>
      <c r="B861" s="4" t="n"/>
      <c r="C861" s="8">
        <f>IF($B861="","",IFERROR(INDEX('Items'!$B$3:$B$202,MATCH($B861,'Items'!$A$3:$A$202,0)),""))</f>
        <v/>
      </c>
      <c r="D861" s="4" t="n"/>
      <c r="E861" s="4" t="n"/>
      <c r="F861" s="6" t="n"/>
      <c r="G861" s="4" t="n"/>
      <c r="H861" s="4" t="n"/>
      <c r="I861" s="4" t="n"/>
      <c r="J861" s="4" t="n"/>
    </row>
    <row r="862">
      <c r="A862" s="5" t="n"/>
      <c r="B862" s="4" t="n"/>
      <c r="C862" s="8">
        <f>IF($B862="","",IFERROR(INDEX('Items'!$B$3:$B$202,MATCH($B862,'Items'!$A$3:$A$202,0)),""))</f>
        <v/>
      </c>
      <c r="D862" s="4" t="n"/>
      <c r="E862" s="4" t="n"/>
      <c r="F862" s="6" t="n"/>
      <c r="G862" s="4" t="n"/>
      <c r="H862" s="4" t="n"/>
      <c r="I862" s="4" t="n"/>
      <c r="J862" s="4" t="n"/>
    </row>
    <row r="863">
      <c r="A863" s="5" t="n"/>
      <c r="B863" s="4" t="n"/>
      <c r="C863" s="8">
        <f>IF($B863="","",IFERROR(INDEX('Items'!$B$3:$B$202,MATCH($B863,'Items'!$A$3:$A$202,0)),""))</f>
        <v/>
      </c>
      <c r="D863" s="4" t="n"/>
      <c r="E863" s="4" t="n"/>
      <c r="F863" s="6" t="n"/>
      <c r="G863" s="4" t="n"/>
      <c r="H863" s="4" t="n"/>
      <c r="I863" s="4" t="n"/>
      <c r="J863" s="4" t="n"/>
    </row>
    <row r="864">
      <c r="A864" s="5" t="n"/>
      <c r="B864" s="4" t="n"/>
      <c r="C864" s="8">
        <f>IF($B864="","",IFERROR(INDEX('Items'!$B$3:$B$202,MATCH($B864,'Items'!$A$3:$A$202,0)),""))</f>
        <v/>
      </c>
      <c r="D864" s="4" t="n"/>
      <c r="E864" s="4" t="n"/>
      <c r="F864" s="6" t="n"/>
      <c r="G864" s="4" t="n"/>
      <c r="H864" s="4" t="n"/>
      <c r="I864" s="4" t="n"/>
      <c r="J864" s="4" t="n"/>
    </row>
    <row r="865">
      <c r="A865" s="5" t="n"/>
      <c r="B865" s="4" t="n"/>
      <c r="C865" s="8">
        <f>IF($B865="","",IFERROR(INDEX('Items'!$B$3:$B$202,MATCH($B865,'Items'!$A$3:$A$202,0)),""))</f>
        <v/>
      </c>
      <c r="D865" s="4" t="n"/>
      <c r="E865" s="4" t="n"/>
      <c r="F865" s="6" t="n"/>
      <c r="G865" s="4" t="n"/>
      <c r="H865" s="4" t="n"/>
      <c r="I865" s="4" t="n"/>
      <c r="J865" s="4" t="n"/>
    </row>
    <row r="866">
      <c r="A866" s="5" t="n"/>
      <c r="B866" s="4" t="n"/>
      <c r="C866" s="8">
        <f>IF($B866="","",IFERROR(INDEX('Items'!$B$3:$B$202,MATCH($B866,'Items'!$A$3:$A$202,0)),""))</f>
        <v/>
      </c>
      <c r="D866" s="4" t="n"/>
      <c r="E866" s="4" t="n"/>
      <c r="F866" s="6" t="n"/>
      <c r="G866" s="4" t="n"/>
      <c r="H866" s="4" t="n"/>
      <c r="I866" s="4" t="n"/>
      <c r="J866" s="4" t="n"/>
    </row>
    <row r="867">
      <c r="A867" s="5" t="n"/>
      <c r="B867" s="4" t="n"/>
      <c r="C867" s="8">
        <f>IF($B867="","",IFERROR(INDEX('Items'!$B$3:$B$202,MATCH($B867,'Items'!$A$3:$A$202,0)),""))</f>
        <v/>
      </c>
      <c r="D867" s="4" t="n"/>
      <c r="E867" s="4" t="n"/>
      <c r="F867" s="6" t="n"/>
      <c r="G867" s="4" t="n"/>
      <c r="H867" s="4" t="n"/>
      <c r="I867" s="4" t="n"/>
      <c r="J867" s="4" t="n"/>
    </row>
    <row r="868">
      <c r="A868" s="5" t="n"/>
      <c r="B868" s="4" t="n"/>
      <c r="C868" s="8">
        <f>IF($B868="","",IFERROR(INDEX('Items'!$B$3:$B$202,MATCH($B868,'Items'!$A$3:$A$202,0)),""))</f>
        <v/>
      </c>
      <c r="D868" s="4" t="n"/>
      <c r="E868" s="4" t="n"/>
      <c r="F868" s="6" t="n"/>
      <c r="G868" s="4" t="n"/>
      <c r="H868" s="4" t="n"/>
      <c r="I868" s="4" t="n"/>
      <c r="J868" s="4" t="n"/>
    </row>
    <row r="869">
      <c r="A869" s="5" t="n"/>
      <c r="B869" s="4" t="n"/>
      <c r="C869" s="8">
        <f>IF($B869="","",IFERROR(INDEX('Items'!$B$3:$B$202,MATCH($B869,'Items'!$A$3:$A$202,0)),""))</f>
        <v/>
      </c>
      <c r="D869" s="4" t="n"/>
      <c r="E869" s="4" t="n"/>
      <c r="F869" s="6" t="n"/>
      <c r="G869" s="4" t="n"/>
      <c r="H869" s="4" t="n"/>
      <c r="I869" s="4" t="n"/>
      <c r="J869" s="4" t="n"/>
    </row>
    <row r="870">
      <c r="A870" s="5" t="n"/>
      <c r="B870" s="4" t="n"/>
      <c r="C870" s="8">
        <f>IF($B870="","",IFERROR(INDEX('Items'!$B$3:$B$202,MATCH($B870,'Items'!$A$3:$A$202,0)),""))</f>
        <v/>
      </c>
      <c r="D870" s="4" t="n"/>
      <c r="E870" s="4" t="n"/>
      <c r="F870" s="6" t="n"/>
      <c r="G870" s="4" t="n"/>
      <c r="H870" s="4" t="n"/>
      <c r="I870" s="4" t="n"/>
      <c r="J870" s="4" t="n"/>
    </row>
    <row r="871">
      <c r="A871" s="5" t="n"/>
      <c r="B871" s="4" t="n"/>
      <c r="C871" s="8">
        <f>IF($B871="","",IFERROR(INDEX('Items'!$B$3:$B$202,MATCH($B871,'Items'!$A$3:$A$202,0)),""))</f>
        <v/>
      </c>
      <c r="D871" s="4" t="n"/>
      <c r="E871" s="4" t="n"/>
      <c r="F871" s="6" t="n"/>
      <c r="G871" s="4" t="n"/>
      <c r="H871" s="4" t="n"/>
      <c r="I871" s="4" t="n"/>
      <c r="J871" s="4" t="n"/>
    </row>
    <row r="872">
      <c r="A872" s="5" t="n"/>
      <c r="B872" s="4" t="n"/>
      <c r="C872" s="8">
        <f>IF($B872="","",IFERROR(INDEX('Items'!$B$3:$B$202,MATCH($B872,'Items'!$A$3:$A$202,0)),""))</f>
        <v/>
      </c>
      <c r="D872" s="4" t="n"/>
      <c r="E872" s="4" t="n"/>
      <c r="F872" s="6" t="n"/>
      <c r="G872" s="4" t="n"/>
      <c r="H872" s="4" t="n"/>
      <c r="I872" s="4" t="n"/>
      <c r="J872" s="4" t="n"/>
    </row>
    <row r="873">
      <c r="A873" s="5" t="n"/>
      <c r="B873" s="4" t="n"/>
      <c r="C873" s="8">
        <f>IF($B873="","",IFERROR(INDEX('Items'!$B$3:$B$202,MATCH($B873,'Items'!$A$3:$A$202,0)),""))</f>
        <v/>
      </c>
      <c r="D873" s="4" t="n"/>
      <c r="E873" s="4" t="n"/>
      <c r="F873" s="6" t="n"/>
      <c r="G873" s="4" t="n"/>
      <c r="H873" s="4" t="n"/>
      <c r="I873" s="4" t="n"/>
      <c r="J873" s="4" t="n"/>
    </row>
    <row r="874">
      <c r="A874" s="5" t="n"/>
      <c r="B874" s="4" t="n"/>
      <c r="C874" s="8">
        <f>IF($B874="","",IFERROR(INDEX('Items'!$B$3:$B$202,MATCH($B874,'Items'!$A$3:$A$202,0)),""))</f>
        <v/>
      </c>
      <c r="D874" s="4" t="n"/>
      <c r="E874" s="4" t="n"/>
      <c r="F874" s="6" t="n"/>
      <c r="G874" s="4" t="n"/>
      <c r="H874" s="4" t="n"/>
      <c r="I874" s="4" t="n"/>
      <c r="J874" s="4" t="n"/>
    </row>
    <row r="875">
      <c r="A875" s="5" t="n"/>
      <c r="B875" s="4" t="n"/>
      <c r="C875" s="8">
        <f>IF($B875="","",IFERROR(INDEX('Items'!$B$3:$B$202,MATCH($B875,'Items'!$A$3:$A$202,0)),""))</f>
        <v/>
      </c>
      <c r="D875" s="4" t="n"/>
      <c r="E875" s="4" t="n"/>
      <c r="F875" s="6" t="n"/>
      <c r="G875" s="4" t="n"/>
      <c r="H875" s="4" t="n"/>
      <c r="I875" s="4" t="n"/>
      <c r="J875" s="4" t="n"/>
    </row>
    <row r="876">
      <c r="A876" s="5" t="n"/>
      <c r="B876" s="4" t="n"/>
      <c r="C876" s="8">
        <f>IF($B876="","",IFERROR(INDEX('Items'!$B$3:$B$202,MATCH($B876,'Items'!$A$3:$A$202,0)),""))</f>
        <v/>
      </c>
      <c r="D876" s="4" t="n"/>
      <c r="E876" s="4" t="n"/>
      <c r="F876" s="6" t="n"/>
      <c r="G876" s="4" t="n"/>
      <c r="H876" s="4" t="n"/>
      <c r="I876" s="4" t="n"/>
      <c r="J876" s="4" t="n"/>
    </row>
    <row r="877">
      <c r="A877" s="5" t="n"/>
      <c r="B877" s="4" t="n"/>
      <c r="C877" s="8">
        <f>IF($B877="","",IFERROR(INDEX('Items'!$B$3:$B$202,MATCH($B877,'Items'!$A$3:$A$202,0)),""))</f>
        <v/>
      </c>
      <c r="D877" s="4" t="n"/>
      <c r="E877" s="4" t="n"/>
      <c r="F877" s="6" t="n"/>
      <c r="G877" s="4" t="n"/>
      <c r="H877" s="4" t="n"/>
      <c r="I877" s="4" t="n"/>
      <c r="J877" s="4" t="n"/>
    </row>
    <row r="878">
      <c r="A878" s="5" t="n"/>
      <c r="B878" s="4" t="n"/>
      <c r="C878" s="8">
        <f>IF($B878="","",IFERROR(INDEX('Items'!$B$3:$B$202,MATCH($B878,'Items'!$A$3:$A$202,0)),""))</f>
        <v/>
      </c>
      <c r="D878" s="4" t="n"/>
      <c r="E878" s="4" t="n"/>
      <c r="F878" s="6" t="n"/>
      <c r="G878" s="4" t="n"/>
      <c r="H878" s="4" t="n"/>
      <c r="I878" s="4" t="n"/>
      <c r="J878" s="4" t="n"/>
    </row>
    <row r="879">
      <c r="A879" s="5" t="n"/>
      <c r="B879" s="4" t="n"/>
      <c r="C879" s="8">
        <f>IF($B879="","",IFERROR(INDEX('Items'!$B$3:$B$202,MATCH($B879,'Items'!$A$3:$A$202,0)),""))</f>
        <v/>
      </c>
      <c r="D879" s="4" t="n"/>
      <c r="E879" s="4" t="n"/>
      <c r="F879" s="6" t="n"/>
      <c r="G879" s="4" t="n"/>
      <c r="H879" s="4" t="n"/>
      <c r="I879" s="4" t="n"/>
      <c r="J879" s="4" t="n"/>
    </row>
    <row r="880">
      <c r="A880" s="5" t="n"/>
      <c r="B880" s="4" t="n"/>
      <c r="C880" s="8">
        <f>IF($B880="","",IFERROR(INDEX('Items'!$B$3:$B$202,MATCH($B880,'Items'!$A$3:$A$202,0)),""))</f>
        <v/>
      </c>
      <c r="D880" s="4" t="n"/>
      <c r="E880" s="4" t="n"/>
      <c r="F880" s="6" t="n"/>
      <c r="G880" s="4" t="n"/>
      <c r="H880" s="4" t="n"/>
      <c r="I880" s="4" t="n"/>
      <c r="J880" s="4" t="n"/>
    </row>
    <row r="881">
      <c r="A881" s="5" t="n"/>
      <c r="B881" s="4" t="n"/>
      <c r="C881" s="8">
        <f>IF($B881="","",IFERROR(INDEX('Items'!$B$3:$B$202,MATCH($B881,'Items'!$A$3:$A$202,0)),""))</f>
        <v/>
      </c>
      <c r="D881" s="4" t="n"/>
      <c r="E881" s="4" t="n"/>
      <c r="F881" s="6" t="n"/>
      <c r="G881" s="4" t="n"/>
      <c r="H881" s="4" t="n"/>
      <c r="I881" s="4" t="n"/>
      <c r="J881" s="4" t="n"/>
    </row>
    <row r="882">
      <c r="A882" s="5" t="n"/>
      <c r="B882" s="4" t="n"/>
      <c r="C882" s="8">
        <f>IF($B882="","",IFERROR(INDEX('Items'!$B$3:$B$202,MATCH($B882,'Items'!$A$3:$A$202,0)),""))</f>
        <v/>
      </c>
      <c r="D882" s="4" t="n"/>
      <c r="E882" s="4" t="n"/>
      <c r="F882" s="6" t="n"/>
      <c r="G882" s="4" t="n"/>
      <c r="H882" s="4" t="n"/>
      <c r="I882" s="4" t="n"/>
      <c r="J882" s="4" t="n"/>
    </row>
    <row r="883">
      <c r="A883" s="5" t="n"/>
      <c r="B883" s="4" t="n"/>
      <c r="C883" s="8">
        <f>IF($B883="","",IFERROR(INDEX('Items'!$B$3:$B$202,MATCH($B883,'Items'!$A$3:$A$202,0)),""))</f>
        <v/>
      </c>
      <c r="D883" s="4" t="n"/>
      <c r="E883" s="4" t="n"/>
      <c r="F883" s="6" t="n"/>
      <c r="G883" s="4" t="n"/>
      <c r="H883" s="4" t="n"/>
      <c r="I883" s="4" t="n"/>
      <c r="J883" s="4" t="n"/>
    </row>
    <row r="884">
      <c r="A884" s="5" t="n"/>
      <c r="B884" s="4" t="n"/>
      <c r="C884" s="8">
        <f>IF($B884="","",IFERROR(INDEX('Items'!$B$3:$B$202,MATCH($B884,'Items'!$A$3:$A$202,0)),""))</f>
        <v/>
      </c>
      <c r="D884" s="4" t="n"/>
      <c r="E884" s="4" t="n"/>
      <c r="F884" s="6" t="n"/>
      <c r="G884" s="4" t="n"/>
      <c r="H884" s="4" t="n"/>
      <c r="I884" s="4" t="n"/>
      <c r="J884" s="4" t="n"/>
    </row>
    <row r="885">
      <c r="A885" s="5" t="n"/>
      <c r="B885" s="4" t="n"/>
      <c r="C885" s="8">
        <f>IF($B885="","",IFERROR(INDEX('Items'!$B$3:$B$202,MATCH($B885,'Items'!$A$3:$A$202,0)),""))</f>
        <v/>
      </c>
      <c r="D885" s="4" t="n"/>
      <c r="E885" s="4" t="n"/>
      <c r="F885" s="6" t="n"/>
      <c r="G885" s="4" t="n"/>
      <c r="H885" s="4" t="n"/>
      <c r="I885" s="4" t="n"/>
      <c r="J885" s="4" t="n"/>
    </row>
    <row r="886">
      <c r="A886" s="5" t="n"/>
      <c r="B886" s="4" t="n"/>
      <c r="C886" s="8">
        <f>IF($B886="","",IFERROR(INDEX('Items'!$B$3:$B$202,MATCH($B886,'Items'!$A$3:$A$202,0)),""))</f>
        <v/>
      </c>
      <c r="D886" s="4" t="n"/>
      <c r="E886" s="4" t="n"/>
      <c r="F886" s="6" t="n"/>
      <c r="G886" s="4" t="n"/>
      <c r="H886" s="4" t="n"/>
      <c r="I886" s="4" t="n"/>
      <c r="J886" s="4" t="n"/>
    </row>
    <row r="887">
      <c r="A887" s="5" t="n"/>
      <c r="B887" s="4" t="n"/>
      <c r="C887" s="8">
        <f>IF($B887="","",IFERROR(INDEX('Items'!$B$3:$B$202,MATCH($B887,'Items'!$A$3:$A$202,0)),""))</f>
        <v/>
      </c>
      <c r="D887" s="4" t="n"/>
      <c r="E887" s="4" t="n"/>
      <c r="F887" s="6" t="n"/>
      <c r="G887" s="4" t="n"/>
      <c r="H887" s="4" t="n"/>
      <c r="I887" s="4" t="n"/>
      <c r="J887" s="4" t="n"/>
    </row>
    <row r="888">
      <c r="A888" s="5" t="n"/>
      <c r="B888" s="4" t="n"/>
      <c r="C888" s="8">
        <f>IF($B888="","",IFERROR(INDEX('Items'!$B$3:$B$202,MATCH($B888,'Items'!$A$3:$A$202,0)),""))</f>
        <v/>
      </c>
      <c r="D888" s="4" t="n"/>
      <c r="E888" s="4" t="n"/>
      <c r="F888" s="6" t="n"/>
      <c r="G888" s="4" t="n"/>
      <c r="H888" s="4" t="n"/>
      <c r="I888" s="4" t="n"/>
      <c r="J888" s="4" t="n"/>
    </row>
    <row r="889">
      <c r="A889" s="5" t="n"/>
      <c r="B889" s="4" t="n"/>
      <c r="C889" s="8">
        <f>IF($B889="","",IFERROR(INDEX('Items'!$B$3:$B$202,MATCH($B889,'Items'!$A$3:$A$202,0)),""))</f>
        <v/>
      </c>
      <c r="D889" s="4" t="n"/>
      <c r="E889" s="4" t="n"/>
      <c r="F889" s="6" t="n"/>
      <c r="G889" s="4" t="n"/>
      <c r="H889" s="4" t="n"/>
      <c r="I889" s="4" t="n"/>
      <c r="J889" s="4" t="n"/>
    </row>
    <row r="890">
      <c r="A890" s="5" t="n"/>
      <c r="B890" s="4" t="n"/>
      <c r="C890" s="8">
        <f>IF($B890="","",IFERROR(INDEX('Items'!$B$3:$B$202,MATCH($B890,'Items'!$A$3:$A$202,0)),""))</f>
        <v/>
      </c>
      <c r="D890" s="4" t="n"/>
      <c r="E890" s="4" t="n"/>
      <c r="F890" s="6" t="n"/>
      <c r="G890" s="4" t="n"/>
      <c r="H890" s="4" t="n"/>
      <c r="I890" s="4" t="n"/>
      <c r="J890" s="4" t="n"/>
    </row>
    <row r="891">
      <c r="A891" s="5" t="n"/>
      <c r="B891" s="4" t="n"/>
      <c r="C891" s="8">
        <f>IF($B891="","",IFERROR(INDEX('Items'!$B$3:$B$202,MATCH($B891,'Items'!$A$3:$A$202,0)),""))</f>
        <v/>
      </c>
      <c r="D891" s="4" t="n"/>
      <c r="E891" s="4" t="n"/>
      <c r="F891" s="6" t="n"/>
      <c r="G891" s="4" t="n"/>
      <c r="H891" s="4" t="n"/>
      <c r="I891" s="4" t="n"/>
      <c r="J891" s="4" t="n"/>
    </row>
    <row r="892">
      <c r="A892" s="5" t="n"/>
      <c r="B892" s="4" t="n"/>
      <c r="C892" s="8">
        <f>IF($B892="","",IFERROR(INDEX('Items'!$B$3:$B$202,MATCH($B892,'Items'!$A$3:$A$202,0)),""))</f>
        <v/>
      </c>
      <c r="D892" s="4" t="n"/>
      <c r="E892" s="4" t="n"/>
      <c r="F892" s="6" t="n"/>
      <c r="G892" s="4" t="n"/>
      <c r="H892" s="4" t="n"/>
      <c r="I892" s="4" t="n"/>
      <c r="J892" s="4" t="n"/>
    </row>
    <row r="893">
      <c r="A893" s="5" t="n"/>
      <c r="B893" s="4" t="n"/>
      <c r="C893" s="8">
        <f>IF($B893="","",IFERROR(INDEX('Items'!$B$3:$B$202,MATCH($B893,'Items'!$A$3:$A$202,0)),""))</f>
        <v/>
      </c>
      <c r="D893" s="4" t="n"/>
      <c r="E893" s="4" t="n"/>
      <c r="F893" s="6" t="n"/>
      <c r="G893" s="4" t="n"/>
      <c r="H893" s="4" t="n"/>
      <c r="I893" s="4" t="n"/>
      <c r="J893" s="4" t="n"/>
    </row>
    <row r="894">
      <c r="A894" s="5" t="n"/>
      <c r="B894" s="4" t="n"/>
      <c r="C894" s="8">
        <f>IF($B894="","",IFERROR(INDEX('Items'!$B$3:$B$202,MATCH($B894,'Items'!$A$3:$A$202,0)),""))</f>
        <v/>
      </c>
      <c r="D894" s="4" t="n"/>
      <c r="E894" s="4" t="n"/>
      <c r="F894" s="6" t="n"/>
      <c r="G894" s="4" t="n"/>
      <c r="H894" s="4" t="n"/>
      <c r="I894" s="4" t="n"/>
      <c r="J894" s="4" t="n"/>
    </row>
    <row r="895">
      <c r="A895" s="5" t="n"/>
      <c r="B895" s="4" t="n"/>
      <c r="C895" s="8">
        <f>IF($B895="","",IFERROR(INDEX('Items'!$B$3:$B$202,MATCH($B895,'Items'!$A$3:$A$202,0)),""))</f>
        <v/>
      </c>
      <c r="D895" s="4" t="n"/>
      <c r="E895" s="4" t="n"/>
      <c r="F895" s="6" t="n"/>
      <c r="G895" s="4" t="n"/>
      <c r="H895" s="4" t="n"/>
      <c r="I895" s="4" t="n"/>
      <c r="J895" s="4" t="n"/>
    </row>
    <row r="896">
      <c r="A896" s="5" t="n"/>
      <c r="B896" s="4" t="n"/>
      <c r="C896" s="8">
        <f>IF($B896="","",IFERROR(INDEX('Items'!$B$3:$B$202,MATCH($B896,'Items'!$A$3:$A$202,0)),""))</f>
        <v/>
      </c>
      <c r="D896" s="4" t="n"/>
      <c r="E896" s="4" t="n"/>
      <c r="F896" s="6" t="n"/>
      <c r="G896" s="4" t="n"/>
      <c r="H896" s="4" t="n"/>
      <c r="I896" s="4" t="n"/>
      <c r="J896" s="4" t="n"/>
    </row>
    <row r="897">
      <c r="A897" s="5" t="n"/>
      <c r="B897" s="4" t="n"/>
      <c r="C897" s="8">
        <f>IF($B897="","",IFERROR(INDEX('Items'!$B$3:$B$202,MATCH($B897,'Items'!$A$3:$A$202,0)),""))</f>
        <v/>
      </c>
      <c r="D897" s="4" t="n"/>
      <c r="E897" s="4" t="n"/>
      <c r="F897" s="6" t="n"/>
      <c r="G897" s="4" t="n"/>
      <c r="H897" s="4" t="n"/>
      <c r="I897" s="4" t="n"/>
      <c r="J897" s="4" t="n"/>
    </row>
    <row r="898">
      <c r="A898" s="5" t="n"/>
      <c r="B898" s="4" t="n"/>
      <c r="C898" s="8">
        <f>IF($B898="","",IFERROR(INDEX('Items'!$B$3:$B$202,MATCH($B898,'Items'!$A$3:$A$202,0)),""))</f>
        <v/>
      </c>
      <c r="D898" s="4" t="n"/>
      <c r="E898" s="4" t="n"/>
      <c r="F898" s="6" t="n"/>
      <c r="G898" s="4" t="n"/>
      <c r="H898" s="4" t="n"/>
      <c r="I898" s="4" t="n"/>
      <c r="J898" s="4" t="n"/>
    </row>
    <row r="899">
      <c r="A899" s="5" t="n"/>
      <c r="B899" s="4" t="n"/>
      <c r="C899" s="8">
        <f>IF($B899="","",IFERROR(INDEX('Items'!$B$3:$B$202,MATCH($B899,'Items'!$A$3:$A$202,0)),""))</f>
        <v/>
      </c>
      <c r="D899" s="4" t="n"/>
      <c r="E899" s="4" t="n"/>
      <c r="F899" s="6" t="n"/>
      <c r="G899" s="4" t="n"/>
      <c r="H899" s="4" t="n"/>
      <c r="I899" s="4" t="n"/>
      <c r="J899" s="4" t="n"/>
    </row>
    <row r="900">
      <c r="A900" s="5" t="n"/>
      <c r="B900" s="4" t="n"/>
      <c r="C900" s="8">
        <f>IF($B900="","",IFERROR(INDEX('Items'!$B$3:$B$202,MATCH($B900,'Items'!$A$3:$A$202,0)),""))</f>
        <v/>
      </c>
      <c r="D900" s="4" t="n"/>
      <c r="E900" s="4" t="n"/>
      <c r="F900" s="6" t="n"/>
      <c r="G900" s="4" t="n"/>
      <c r="H900" s="4" t="n"/>
      <c r="I900" s="4" t="n"/>
      <c r="J900" s="4" t="n"/>
    </row>
    <row r="901">
      <c r="A901" s="5" t="n"/>
      <c r="B901" s="4" t="n"/>
      <c r="C901" s="8">
        <f>IF($B901="","",IFERROR(INDEX('Items'!$B$3:$B$202,MATCH($B901,'Items'!$A$3:$A$202,0)),""))</f>
        <v/>
      </c>
      <c r="D901" s="4" t="n"/>
      <c r="E901" s="4" t="n"/>
      <c r="F901" s="6" t="n"/>
      <c r="G901" s="4" t="n"/>
      <c r="H901" s="4" t="n"/>
      <c r="I901" s="4" t="n"/>
      <c r="J901" s="4" t="n"/>
    </row>
    <row r="902">
      <c r="A902" s="5" t="n"/>
      <c r="B902" s="4" t="n"/>
      <c r="C902" s="8">
        <f>IF($B902="","",IFERROR(INDEX('Items'!$B$3:$B$202,MATCH($B902,'Items'!$A$3:$A$202,0)),""))</f>
        <v/>
      </c>
      <c r="D902" s="4" t="n"/>
      <c r="E902" s="4" t="n"/>
      <c r="F902" s="6" t="n"/>
      <c r="G902" s="4" t="n"/>
      <c r="H902" s="4" t="n"/>
      <c r="I902" s="4" t="n"/>
      <c r="J902" s="4" t="n"/>
    </row>
    <row r="903">
      <c r="A903" s="5" t="n"/>
      <c r="B903" s="4" t="n"/>
      <c r="C903" s="8">
        <f>IF($B903="","",IFERROR(INDEX('Items'!$B$3:$B$202,MATCH($B903,'Items'!$A$3:$A$202,0)),""))</f>
        <v/>
      </c>
      <c r="D903" s="4" t="n"/>
      <c r="E903" s="4" t="n"/>
      <c r="F903" s="6" t="n"/>
      <c r="G903" s="4" t="n"/>
      <c r="H903" s="4" t="n"/>
      <c r="I903" s="4" t="n"/>
      <c r="J903" s="4" t="n"/>
    </row>
    <row r="904">
      <c r="A904" s="5" t="n"/>
      <c r="B904" s="4" t="n"/>
      <c r="C904" s="8">
        <f>IF($B904="","",IFERROR(INDEX('Items'!$B$3:$B$202,MATCH($B904,'Items'!$A$3:$A$202,0)),""))</f>
        <v/>
      </c>
      <c r="D904" s="4" t="n"/>
      <c r="E904" s="4" t="n"/>
      <c r="F904" s="6" t="n"/>
      <c r="G904" s="4" t="n"/>
      <c r="H904" s="4" t="n"/>
      <c r="I904" s="4" t="n"/>
      <c r="J904" s="4" t="n"/>
    </row>
    <row r="905">
      <c r="A905" s="5" t="n"/>
      <c r="B905" s="4" t="n"/>
      <c r="C905" s="8">
        <f>IF($B905="","",IFERROR(INDEX('Items'!$B$3:$B$202,MATCH($B905,'Items'!$A$3:$A$202,0)),""))</f>
        <v/>
      </c>
      <c r="D905" s="4" t="n"/>
      <c r="E905" s="4" t="n"/>
      <c r="F905" s="6" t="n"/>
      <c r="G905" s="4" t="n"/>
      <c r="H905" s="4" t="n"/>
      <c r="I905" s="4" t="n"/>
      <c r="J905" s="4" t="n"/>
    </row>
    <row r="906">
      <c r="A906" s="5" t="n"/>
      <c r="B906" s="4" t="n"/>
      <c r="C906" s="8">
        <f>IF($B906="","",IFERROR(INDEX('Items'!$B$3:$B$202,MATCH($B906,'Items'!$A$3:$A$202,0)),""))</f>
        <v/>
      </c>
      <c r="D906" s="4" t="n"/>
      <c r="E906" s="4" t="n"/>
      <c r="F906" s="6" t="n"/>
      <c r="G906" s="4" t="n"/>
      <c r="H906" s="4" t="n"/>
      <c r="I906" s="4" t="n"/>
      <c r="J906" s="4" t="n"/>
    </row>
    <row r="907">
      <c r="A907" s="5" t="n"/>
      <c r="B907" s="4" t="n"/>
      <c r="C907" s="8">
        <f>IF($B907="","",IFERROR(INDEX('Items'!$B$3:$B$202,MATCH($B907,'Items'!$A$3:$A$202,0)),""))</f>
        <v/>
      </c>
      <c r="D907" s="4" t="n"/>
      <c r="E907" s="4" t="n"/>
      <c r="F907" s="6" t="n"/>
      <c r="G907" s="4" t="n"/>
      <c r="H907" s="4" t="n"/>
      <c r="I907" s="4" t="n"/>
      <c r="J907" s="4" t="n"/>
    </row>
    <row r="908">
      <c r="A908" s="5" t="n"/>
      <c r="B908" s="4" t="n"/>
      <c r="C908" s="8">
        <f>IF($B908="","",IFERROR(INDEX('Items'!$B$3:$B$202,MATCH($B908,'Items'!$A$3:$A$202,0)),""))</f>
        <v/>
      </c>
      <c r="D908" s="4" t="n"/>
      <c r="E908" s="4" t="n"/>
      <c r="F908" s="6" t="n"/>
      <c r="G908" s="4" t="n"/>
      <c r="H908" s="4" t="n"/>
      <c r="I908" s="4" t="n"/>
      <c r="J908" s="4" t="n"/>
    </row>
    <row r="909">
      <c r="A909" s="5" t="n"/>
      <c r="B909" s="4" t="n"/>
      <c r="C909" s="8">
        <f>IF($B909="","",IFERROR(INDEX('Items'!$B$3:$B$202,MATCH($B909,'Items'!$A$3:$A$202,0)),""))</f>
        <v/>
      </c>
      <c r="D909" s="4" t="n"/>
      <c r="E909" s="4" t="n"/>
      <c r="F909" s="6" t="n"/>
      <c r="G909" s="4" t="n"/>
      <c r="H909" s="4" t="n"/>
      <c r="I909" s="4" t="n"/>
      <c r="J909" s="4" t="n"/>
    </row>
    <row r="910">
      <c r="A910" s="5" t="n"/>
      <c r="B910" s="4" t="n"/>
      <c r="C910" s="8">
        <f>IF($B910="","",IFERROR(INDEX('Items'!$B$3:$B$202,MATCH($B910,'Items'!$A$3:$A$202,0)),""))</f>
        <v/>
      </c>
      <c r="D910" s="4" t="n"/>
      <c r="E910" s="4" t="n"/>
      <c r="F910" s="6" t="n"/>
      <c r="G910" s="4" t="n"/>
      <c r="H910" s="4" t="n"/>
      <c r="I910" s="4" t="n"/>
      <c r="J910" s="4" t="n"/>
    </row>
    <row r="911">
      <c r="A911" s="5" t="n"/>
      <c r="B911" s="4" t="n"/>
      <c r="C911" s="8">
        <f>IF($B911="","",IFERROR(INDEX('Items'!$B$3:$B$202,MATCH($B911,'Items'!$A$3:$A$202,0)),""))</f>
        <v/>
      </c>
      <c r="D911" s="4" t="n"/>
      <c r="E911" s="4" t="n"/>
      <c r="F911" s="6" t="n"/>
      <c r="G911" s="4" t="n"/>
      <c r="H911" s="4" t="n"/>
      <c r="I911" s="4" t="n"/>
      <c r="J911" s="4" t="n"/>
    </row>
    <row r="912">
      <c r="A912" s="5" t="n"/>
      <c r="B912" s="4" t="n"/>
      <c r="C912" s="8">
        <f>IF($B912="","",IFERROR(INDEX('Items'!$B$3:$B$202,MATCH($B912,'Items'!$A$3:$A$202,0)),""))</f>
        <v/>
      </c>
      <c r="D912" s="4" t="n"/>
      <c r="E912" s="4" t="n"/>
      <c r="F912" s="6" t="n"/>
      <c r="G912" s="4" t="n"/>
      <c r="H912" s="4" t="n"/>
      <c r="I912" s="4" t="n"/>
      <c r="J912" s="4" t="n"/>
    </row>
    <row r="913">
      <c r="A913" s="5" t="n"/>
      <c r="B913" s="4" t="n"/>
      <c r="C913" s="8">
        <f>IF($B913="","",IFERROR(INDEX('Items'!$B$3:$B$202,MATCH($B913,'Items'!$A$3:$A$202,0)),""))</f>
        <v/>
      </c>
      <c r="D913" s="4" t="n"/>
      <c r="E913" s="4" t="n"/>
      <c r="F913" s="6" t="n"/>
      <c r="G913" s="4" t="n"/>
      <c r="H913" s="4" t="n"/>
      <c r="I913" s="4" t="n"/>
      <c r="J913" s="4" t="n"/>
    </row>
    <row r="914">
      <c r="A914" s="5" t="n"/>
      <c r="B914" s="4" t="n"/>
      <c r="C914" s="8">
        <f>IF($B914="","",IFERROR(INDEX('Items'!$B$3:$B$202,MATCH($B914,'Items'!$A$3:$A$202,0)),""))</f>
        <v/>
      </c>
      <c r="D914" s="4" t="n"/>
      <c r="E914" s="4" t="n"/>
      <c r="F914" s="6" t="n"/>
      <c r="G914" s="4" t="n"/>
      <c r="H914" s="4" t="n"/>
      <c r="I914" s="4" t="n"/>
      <c r="J914" s="4" t="n"/>
    </row>
    <row r="915">
      <c r="A915" s="5" t="n"/>
      <c r="B915" s="4" t="n"/>
      <c r="C915" s="8">
        <f>IF($B915="","",IFERROR(INDEX('Items'!$B$3:$B$202,MATCH($B915,'Items'!$A$3:$A$202,0)),""))</f>
        <v/>
      </c>
      <c r="D915" s="4" t="n"/>
      <c r="E915" s="4" t="n"/>
      <c r="F915" s="6" t="n"/>
      <c r="G915" s="4" t="n"/>
      <c r="H915" s="4" t="n"/>
      <c r="I915" s="4" t="n"/>
      <c r="J915" s="4" t="n"/>
    </row>
    <row r="916">
      <c r="A916" s="5" t="n"/>
      <c r="B916" s="4" t="n"/>
      <c r="C916" s="8">
        <f>IF($B916="","",IFERROR(INDEX('Items'!$B$3:$B$202,MATCH($B916,'Items'!$A$3:$A$202,0)),""))</f>
        <v/>
      </c>
      <c r="D916" s="4" t="n"/>
      <c r="E916" s="4" t="n"/>
      <c r="F916" s="6" t="n"/>
      <c r="G916" s="4" t="n"/>
      <c r="H916" s="4" t="n"/>
      <c r="I916" s="4" t="n"/>
      <c r="J916" s="4" t="n"/>
    </row>
    <row r="917">
      <c r="A917" s="5" t="n"/>
      <c r="B917" s="4" t="n"/>
      <c r="C917" s="8">
        <f>IF($B917="","",IFERROR(INDEX('Items'!$B$3:$B$202,MATCH($B917,'Items'!$A$3:$A$202,0)),""))</f>
        <v/>
      </c>
      <c r="D917" s="4" t="n"/>
      <c r="E917" s="4" t="n"/>
      <c r="F917" s="6" t="n"/>
      <c r="G917" s="4" t="n"/>
      <c r="H917" s="4" t="n"/>
      <c r="I917" s="4" t="n"/>
      <c r="J917" s="4" t="n"/>
    </row>
    <row r="918">
      <c r="A918" s="5" t="n"/>
      <c r="B918" s="4" t="n"/>
      <c r="C918" s="8">
        <f>IF($B918="","",IFERROR(INDEX('Items'!$B$3:$B$202,MATCH($B918,'Items'!$A$3:$A$202,0)),""))</f>
        <v/>
      </c>
      <c r="D918" s="4" t="n"/>
      <c r="E918" s="4" t="n"/>
      <c r="F918" s="6" t="n"/>
      <c r="G918" s="4" t="n"/>
      <c r="H918" s="4" t="n"/>
      <c r="I918" s="4" t="n"/>
      <c r="J918" s="4" t="n"/>
    </row>
    <row r="919">
      <c r="A919" s="5" t="n"/>
      <c r="B919" s="4" t="n"/>
      <c r="C919" s="8">
        <f>IF($B919="","",IFERROR(INDEX('Items'!$B$3:$B$202,MATCH($B919,'Items'!$A$3:$A$202,0)),""))</f>
        <v/>
      </c>
      <c r="D919" s="4" t="n"/>
      <c r="E919" s="4" t="n"/>
      <c r="F919" s="6" t="n"/>
      <c r="G919" s="4" t="n"/>
      <c r="H919" s="4" t="n"/>
      <c r="I919" s="4" t="n"/>
      <c r="J919" s="4" t="n"/>
    </row>
    <row r="920">
      <c r="A920" s="5" t="n"/>
      <c r="B920" s="4" t="n"/>
      <c r="C920" s="8">
        <f>IF($B920="","",IFERROR(INDEX('Items'!$B$3:$B$202,MATCH($B920,'Items'!$A$3:$A$202,0)),""))</f>
        <v/>
      </c>
      <c r="D920" s="4" t="n"/>
      <c r="E920" s="4" t="n"/>
      <c r="F920" s="6" t="n"/>
      <c r="G920" s="4" t="n"/>
      <c r="H920" s="4" t="n"/>
      <c r="I920" s="4" t="n"/>
      <c r="J920" s="4" t="n"/>
    </row>
    <row r="921">
      <c r="A921" s="5" t="n"/>
      <c r="B921" s="4" t="n"/>
      <c r="C921" s="8">
        <f>IF($B921="","",IFERROR(INDEX('Items'!$B$3:$B$202,MATCH($B921,'Items'!$A$3:$A$202,0)),""))</f>
        <v/>
      </c>
      <c r="D921" s="4" t="n"/>
      <c r="E921" s="4" t="n"/>
      <c r="F921" s="6" t="n"/>
      <c r="G921" s="4" t="n"/>
      <c r="H921" s="4" t="n"/>
      <c r="I921" s="4" t="n"/>
      <c r="J921" s="4" t="n"/>
    </row>
    <row r="922">
      <c r="A922" s="5" t="n"/>
      <c r="B922" s="4" t="n"/>
      <c r="C922" s="8">
        <f>IF($B922="","",IFERROR(INDEX('Items'!$B$3:$B$202,MATCH($B922,'Items'!$A$3:$A$202,0)),""))</f>
        <v/>
      </c>
      <c r="D922" s="4" t="n"/>
      <c r="E922" s="4" t="n"/>
      <c r="F922" s="6" t="n"/>
      <c r="G922" s="4" t="n"/>
      <c r="H922" s="4" t="n"/>
      <c r="I922" s="4" t="n"/>
      <c r="J922" s="4" t="n"/>
    </row>
    <row r="923">
      <c r="A923" s="5" t="n"/>
      <c r="B923" s="4" t="n"/>
      <c r="C923" s="8">
        <f>IF($B923="","",IFERROR(INDEX('Items'!$B$3:$B$202,MATCH($B923,'Items'!$A$3:$A$202,0)),""))</f>
        <v/>
      </c>
      <c r="D923" s="4" t="n"/>
      <c r="E923" s="4" t="n"/>
      <c r="F923" s="6" t="n"/>
      <c r="G923" s="4" t="n"/>
      <c r="H923" s="4" t="n"/>
      <c r="I923" s="4" t="n"/>
      <c r="J923" s="4" t="n"/>
    </row>
    <row r="924">
      <c r="A924" s="5" t="n"/>
      <c r="B924" s="4" t="n"/>
      <c r="C924" s="8">
        <f>IF($B924="","",IFERROR(INDEX('Items'!$B$3:$B$202,MATCH($B924,'Items'!$A$3:$A$202,0)),""))</f>
        <v/>
      </c>
      <c r="D924" s="4" t="n"/>
      <c r="E924" s="4" t="n"/>
      <c r="F924" s="6" t="n"/>
      <c r="G924" s="4" t="n"/>
      <c r="H924" s="4" t="n"/>
      <c r="I924" s="4" t="n"/>
      <c r="J924" s="4" t="n"/>
    </row>
    <row r="925">
      <c r="A925" s="5" t="n"/>
      <c r="B925" s="4" t="n"/>
      <c r="C925" s="8">
        <f>IF($B925="","",IFERROR(INDEX('Items'!$B$3:$B$202,MATCH($B925,'Items'!$A$3:$A$202,0)),""))</f>
        <v/>
      </c>
      <c r="D925" s="4" t="n"/>
      <c r="E925" s="4" t="n"/>
      <c r="F925" s="6" t="n"/>
      <c r="G925" s="4" t="n"/>
      <c r="H925" s="4" t="n"/>
      <c r="I925" s="4" t="n"/>
      <c r="J925" s="4" t="n"/>
    </row>
    <row r="926">
      <c r="A926" s="5" t="n"/>
      <c r="B926" s="4" t="n"/>
      <c r="C926" s="8">
        <f>IF($B926="","",IFERROR(INDEX('Items'!$B$3:$B$202,MATCH($B926,'Items'!$A$3:$A$202,0)),""))</f>
        <v/>
      </c>
      <c r="D926" s="4" t="n"/>
      <c r="E926" s="4" t="n"/>
      <c r="F926" s="6" t="n"/>
      <c r="G926" s="4" t="n"/>
      <c r="H926" s="4" t="n"/>
      <c r="I926" s="4" t="n"/>
      <c r="J926" s="4" t="n"/>
    </row>
    <row r="927">
      <c r="A927" s="5" t="n"/>
      <c r="B927" s="4" t="n"/>
      <c r="C927" s="8">
        <f>IF($B927="","",IFERROR(INDEX('Items'!$B$3:$B$202,MATCH($B927,'Items'!$A$3:$A$202,0)),""))</f>
        <v/>
      </c>
      <c r="D927" s="4" t="n"/>
      <c r="E927" s="4" t="n"/>
      <c r="F927" s="6" t="n"/>
      <c r="G927" s="4" t="n"/>
      <c r="H927" s="4" t="n"/>
      <c r="I927" s="4" t="n"/>
      <c r="J927" s="4" t="n"/>
    </row>
    <row r="928">
      <c r="A928" s="5" t="n"/>
      <c r="B928" s="4" t="n"/>
      <c r="C928" s="8">
        <f>IF($B928="","",IFERROR(INDEX('Items'!$B$3:$B$202,MATCH($B928,'Items'!$A$3:$A$202,0)),""))</f>
        <v/>
      </c>
      <c r="D928" s="4" t="n"/>
      <c r="E928" s="4" t="n"/>
      <c r="F928" s="6" t="n"/>
      <c r="G928" s="4" t="n"/>
      <c r="H928" s="4" t="n"/>
      <c r="I928" s="4" t="n"/>
      <c r="J928" s="4" t="n"/>
    </row>
    <row r="929">
      <c r="A929" s="5" t="n"/>
      <c r="B929" s="4" t="n"/>
      <c r="C929" s="8">
        <f>IF($B929="","",IFERROR(INDEX('Items'!$B$3:$B$202,MATCH($B929,'Items'!$A$3:$A$202,0)),""))</f>
        <v/>
      </c>
      <c r="D929" s="4" t="n"/>
      <c r="E929" s="4" t="n"/>
      <c r="F929" s="6" t="n"/>
      <c r="G929" s="4" t="n"/>
      <c r="H929" s="4" t="n"/>
      <c r="I929" s="4" t="n"/>
      <c r="J929" s="4" t="n"/>
    </row>
    <row r="930">
      <c r="A930" s="5" t="n"/>
      <c r="B930" s="4" t="n"/>
      <c r="C930" s="8">
        <f>IF($B930="","",IFERROR(INDEX('Items'!$B$3:$B$202,MATCH($B930,'Items'!$A$3:$A$202,0)),""))</f>
        <v/>
      </c>
      <c r="D930" s="4" t="n"/>
      <c r="E930" s="4" t="n"/>
      <c r="F930" s="6" t="n"/>
      <c r="G930" s="4" t="n"/>
      <c r="H930" s="4" t="n"/>
      <c r="I930" s="4" t="n"/>
      <c r="J930" s="4" t="n"/>
    </row>
    <row r="931">
      <c r="A931" s="5" t="n"/>
      <c r="B931" s="4" t="n"/>
      <c r="C931" s="8">
        <f>IF($B931="","",IFERROR(INDEX('Items'!$B$3:$B$202,MATCH($B931,'Items'!$A$3:$A$202,0)),""))</f>
        <v/>
      </c>
      <c r="D931" s="4" t="n"/>
      <c r="E931" s="4" t="n"/>
      <c r="F931" s="6" t="n"/>
      <c r="G931" s="4" t="n"/>
      <c r="H931" s="4" t="n"/>
      <c r="I931" s="4" t="n"/>
      <c r="J931" s="4" t="n"/>
    </row>
    <row r="932">
      <c r="A932" s="5" t="n"/>
      <c r="B932" s="4" t="n"/>
      <c r="C932" s="8">
        <f>IF($B932="","",IFERROR(INDEX('Items'!$B$3:$B$202,MATCH($B932,'Items'!$A$3:$A$202,0)),""))</f>
        <v/>
      </c>
      <c r="D932" s="4" t="n"/>
      <c r="E932" s="4" t="n"/>
      <c r="F932" s="6" t="n"/>
      <c r="G932" s="4" t="n"/>
      <c r="H932" s="4" t="n"/>
      <c r="I932" s="4" t="n"/>
      <c r="J932" s="4" t="n"/>
    </row>
    <row r="933">
      <c r="A933" s="5" t="n"/>
      <c r="B933" s="4" t="n"/>
      <c r="C933" s="8">
        <f>IF($B933="","",IFERROR(INDEX('Items'!$B$3:$B$202,MATCH($B933,'Items'!$A$3:$A$202,0)),""))</f>
        <v/>
      </c>
      <c r="D933" s="4" t="n"/>
      <c r="E933" s="4" t="n"/>
      <c r="F933" s="6" t="n"/>
      <c r="G933" s="4" t="n"/>
      <c r="H933" s="4" t="n"/>
      <c r="I933" s="4" t="n"/>
      <c r="J933" s="4" t="n"/>
    </row>
    <row r="934">
      <c r="A934" s="5" t="n"/>
      <c r="B934" s="4" t="n"/>
      <c r="C934" s="8">
        <f>IF($B934="","",IFERROR(INDEX('Items'!$B$3:$B$202,MATCH($B934,'Items'!$A$3:$A$202,0)),""))</f>
        <v/>
      </c>
      <c r="D934" s="4" t="n"/>
      <c r="E934" s="4" t="n"/>
      <c r="F934" s="6" t="n"/>
      <c r="G934" s="4" t="n"/>
      <c r="H934" s="4" t="n"/>
      <c r="I934" s="4" t="n"/>
      <c r="J934" s="4" t="n"/>
    </row>
    <row r="935">
      <c r="A935" s="5" t="n"/>
      <c r="B935" s="4" t="n"/>
      <c r="C935" s="8">
        <f>IF($B935="","",IFERROR(INDEX('Items'!$B$3:$B$202,MATCH($B935,'Items'!$A$3:$A$202,0)),""))</f>
        <v/>
      </c>
      <c r="D935" s="4" t="n"/>
      <c r="E935" s="4" t="n"/>
      <c r="F935" s="6" t="n"/>
      <c r="G935" s="4" t="n"/>
      <c r="H935" s="4" t="n"/>
      <c r="I935" s="4" t="n"/>
      <c r="J935" s="4" t="n"/>
    </row>
    <row r="936">
      <c r="A936" s="5" t="n"/>
      <c r="B936" s="4" t="n"/>
      <c r="C936" s="8">
        <f>IF($B936="","",IFERROR(INDEX('Items'!$B$3:$B$202,MATCH($B936,'Items'!$A$3:$A$202,0)),""))</f>
        <v/>
      </c>
      <c r="D936" s="4" t="n"/>
      <c r="E936" s="4" t="n"/>
      <c r="F936" s="6" t="n"/>
      <c r="G936" s="4" t="n"/>
      <c r="H936" s="4" t="n"/>
      <c r="I936" s="4" t="n"/>
      <c r="J936" s="4" t="n"/>
    </row>
    <row r="937">
      <c r="A937" s="5" t="n"/>
      <c r="B937" s="4" t="n"/>
      <c r="C937" s="8">
        <f>IF($B937="","",IFERROR(INDEX('Items'!$B$3:$B$202,MATCH($B937,'Items'!$A$3:$A$202,0)),""))</f>
        <v/>
      </c>
      <c r="D937" s="4" t="n"/>
      <c r="E937" s="4" t="n"/>
      <c r="F937" s="6" t="n"/>
      <c r="G937" s="4" t="n"/>
      <c r="H937" s="4" t="n"/>
      <c r="I937" s="4" t="n"/>
      <c r="J937" s="4" t="n"/>
    </row>
    <row r="938">
      <c r="A938" s="5" t="n"/>
      <c r="B938" s="4" t="n"/>
      <c r="C938" s="8">
        <f>IF($B938="","",IFERROR(INDEX('Items'!$B$3:$B$202,MATCH($B938,'Items'!$A$3:$A$202,0)),""))</f>
        <v/>
      </c>
      <c r="D938" s="4" t="n"/>
      <c r="E938" s="4" t="n"/>
      <c r="F938" s="6" t="n"/>
      <c r="G938" s="4" t="n"/>
      <c r="H938" s="4" t="n"/>
      <c r="I938" s="4" t="n"/>
      <c r="J938" s="4" t="n"/>
    </row>
    <row r="939">
      <c r="A939" s="5" t="n"/>
      <c r="B939" s="4" t="n"/>
      <c r="C939" s="8">
        <f>IF($B939="","",IFERROR(INDEX('Items'!$B$3:$B$202,MATCH($B939,'Items'!$A$3:$A$202,0)),""))</f>
        <v/>
      </c>
      <c r="D939" s="4" t="n"/>
      <c r="E939" s="4" t="n"/>
      <c r="F939" s="6" t="n"/>
      <c r="G939" s="4" t="n"/>
      <c r="H939" s="4" t="n"/>
      <c r="I939" s="4" t="n"/>
      <c r="J939" s="4" t="n"/>
    </row>
    <row r="940">
      <c r="A940" s="5" t="n"/>
      <c r="B940" s="4" t="n"/>
      <c r="C940" s="8">
        <f>IF($B940="","",IFERROR(INDEX('Items'!$B$3:$B$202,MATCH($B940,'Items'!$A$3:$A$202,0)),""))</f>
        <v/>
      </c>
      <c r="D940" s="4" t="n"/>
      <c r="E940" s="4" t="n"/>
      <c r="F940" s="6" t="n"/>
      <c r="G940" s="4" t="n"/>
      <c r="H940" s="4" t="n"/>
      <c r="I940" s="4" t="n"/>
      <c r="J940" s="4" t="n"/>
    </row>
    <row r="941">
      <c r="A941" s="5" t="n"/>
      <c r="B941" s="4" t="n"/>
      <c r="C941" s="8">
        <f>IF($B941="","",IFERROR(INDEX('Items'!$B$3:$B$202,MATCH($B941,'Items'!$A$3:$A$202,0)),""))</f>
        <v/>
      </c>
      <c r="D941" s="4" t="n"/>
      <c r="E941" s="4" t="n"/>
      <c r="F941" s="6" t="n"/>
      <c r="G941" s="4" t="n"/>
      <c r="H941" s="4" t="n"/>
      <c r="I941" s="4" t="n"/>
      <c r="J941" s="4" t="n"/>
    </row>
    <row r="942">
      <c r="A942" s="5" t="n"/>
      <c r="B942" s="4" t="n"/>
      <c r="C942" s="8">
        <f>IF($B942="","",IFERROR(INDEX('Items'!$B$3:$B$202,MATCH($B942,'Items'!$A$3:$A$202,0)),""))</f>
        <v/>
      </c>
      <c r="D942" s="4" t="n"/>
      <c r="E942" s="4" t="n"/>
      <c r="F942" s="6" t="n"/>
      <c r="G942" s="4" t="n"/>
      <c r="H942" s="4" t="n"/>
      <c r="I942" s="4" t="n"/>
      <c r="J942" s="4" t="n"/>
    </row>
    <row r="943">
      <c r="A943" s="5" t="n"/>
      <c r="B943" s="4" t="n"/>
      <c r="C943" s="8">
        <f>IF($B943="","",IFERROR(INDEX('Items'!$B$3:$B$202,MATCH($B943,'Items'!$A$3:$A$202,0)),""))</f>
        <v/>
      </c>
      <c r="D943" s="4" t="n"/>
      <c r="E943" s="4" t="n"/>
      <c r="F943" s="6" t="n"/>
      <c r="G943" s="4" t="n"/>
      <c r="H943" s="4" t="n"/>
      <c r="I943" s="4" t="n"/>
      <c r="J943" s="4" t="n"/>
    </row>
    <row r="944">
      <c r="A944" s="5" t="n"/>
      <c r="B944" s="4" t="n"/>
      <c r="C944" s="8">
        <f>IF($B944="","",IFERROR(INDEX('Items'!$B$3:$B$202,MATCH($B944,'Items'!$A$3:$A$202,0)),""))</f>
        <v/>
      </c>
      <c r="D944" s="4" t="n"/>
      <c r="E944" s="4" t="n"/>
      <c r="F944" s="6" t="n"/>
      <c r="G944" s="4" t="n"/>
      <c r="H944" s="4" t="n"/>
      <c r="I944" s="4" t="n"/>
      <c r="J944" s="4" t="n"/>
    </row>
    <row r="945">
      <c r="A945" s="5" t="n"/>
      <c r="B945" s="4" t="n"/>
      <c r="C945" s="8">
        <f>IF($B945="","",IFERROR(INDEX('Items'!$B$3:$B$202,MATCH($B945,'Items'!$A$3:$A$202,0)),""))</f>
        <v/>
      </c>
      <c r="D945" s="4" t="n"/>
      <c r="E945" s="4" t="n"/>
      <c r="F945" s="6" t="n"/>
      <c r="G945" s="4" t="n"/>
      <c r="H945" s="4" t="n"/>
      <c r="I945" s="4" t="n"/>
      <c r="J945" s="4" t="n"/>
    </row>
    <row r="946">
      <c r="A946" s="5" t="n"/>
      <c r="B946" s="4" t="n"/>
      <c r="C946" s="8">
        <f>IF($B946="","",IFERROR(INDEX('Items'!$B$3:$B$202,MATCH($B946,'Items'!$A$3:$A$202,0)),""))</f>
        <v/>
      </c>
      <c r="D946" s="4" t="n"/>
      <c r="E946" s="4" t="n"/>
      <c r="F946" s="6" t="n"/>
      <c r="G946" s="4" t="n"/>
      <c r="H946" s="4" t="n"/>
      <c r="I946" s="4" t="n"/>
      <c r="J946" s="4" t="n"/>
    </row>
    <row r="947">
      <c r="A947" s="5" t="n"/>
      <c r="B947" s="4" t="n"/>
      <c r="C947" s="8">
        <f>IF($B947="","",IFERROR(INDEX('Items'!$B$3:$B$202,MATCH($B947,'Items'!$A$3:$A$202,0)),""))</f>
        <v/>
      </c>
      <c r="D947" s="4" t="n"/>
      <c r="E947" s="4" t="n"/>
      <c r="F947" s="6" t="n"/>
      <c r="G947" s="4" t="n"/>
      <c r="H947" s="4" t="n"/>
      <c r="I947" s="4" t="n"/>
      <c r="J947" s="4" t="n"/>
    </row>
    <row r="948">
      <c r="A948" s="5" t="n"/>
      <c r="B948" s="4" t="n"/>
      <c r="C948" s="8">
        <f>IF($B948="","",IFERROR(INDEX('Items'!$B$3:$B$202,MATCH($B948,'Items'!$A$3:$A$202,0)),""))</f>
        <v/>
      </c>
      <c r="D948" s="4" t="n"/>
      <c r="E948" s="4" t="n"/>
      <c r="F948" s="6" t="n"/>
      <c r="G948" s="4" t="n"/>
      <c r="H948" s="4" t="n"/>
      <c r="I948" s="4" t="n"/>
      <c r="J948" s="4" t="n"/>
    </row>
    <row r="949">
      <c r="A949" s="5" t="n"/>
      <c r="B949" s="4" t="n"/>
      <c r="C949" s="8">
        <f>IF($B949="","",IFERROR(INDEX('Items'!$B$3:$B$202,MATCH($B949,'Items'!$A$3:$A$202,0)),""))</f>
        <v/>
      </c>
      <c r="D949" s="4" t="n"/>
      <c r="E949" s="4" t="n"/>
      <c r="F949" s="6" t="n"/>
      <c r="G949" s="4" t="n"/>
      <c r="H949" s="4" t="n"/>
      <c r="I949" s="4" t="n"/>
      <c r="J949" s="4" t="n"/>
    </row>
    <row r="950">
      <c r="A950" s="5" t="n"/>
      <c r="B950" s="4" t="n"/>
      <c r="C950" s="8">
        <f>IF($B950="","",IFERROR(INDEX('Items'!$B$3:$B$202,MATCH($B950,'Items'!$A$3:$A$202,0)),""))</f>
        <v/>
      </c>
      <c r="D950" s="4" t="n"/>
      <c r="E950" s="4" t="n"/>
      <c r="F950" s="6" t="n"/>
      <c r="G950" s="4" t="n"/>
      <c r="H950" s="4" t="n"/>
      <c r="I950" s="4" t="n"/>
      <c r="J950" s="4" t="n"/>
    </row>
    <row r="951">
      <c r="A951" s="5" t="n"/>
      <c r="B951" s="4" t="n"/>
      <c r="C951" s="8">
        <f>IF($B951="","",IFERROR(INDEX('Items'!$B$3:$B$202,MATCH($B951,'Items'!$A$3:$A$202,0)),""))</f>
        <v/>
      </c>
      <c r="D951" s="4" t="n"/>
      <c r="E951" s="4" t="n"/>
      <c r="F951" s="6" t="n"/>
      <c r="G951" s="4" t="n"/>
      <c r="H951" s="4" t="n"/>
      <c r="I951" s="4" t="n"/>
      <c r="J951" s="4" t="n"/>
    </row>
    <row r="952">
      <c r="A952" s="5" t="n"/>
      <c r="B952" s="4" t="n"/>
      <c r="C952" s="8">
        <f>IF($B952="","",IFERROR(INDEX('Items'!$B$3:$B$202,MATCH($B952,'Items'!$A$3:$A$202,0)),""))</f>
        <v/>
      </c>
      <c r="D952" s="4" t="n"/>
      <c r="E952" s="4" t="n"/>
      <c r="F952" s="6" t="n"/>
      <c r="G952" s="4" t="n"/>
      <c r="H952" s="4" t="n"/>
      <c r="I952" s="4" t="n"/>
      <c r="J952" s="4" t="n"/>
    </row>
    <row r="953">
      <c r="A953" s="5" t="n"/>
      <c r="B953" s="4" t="n"/>
      <c r="C953" s="8">
        <f>IF($B953="","",IFERROR(INDEX('Items'!$B$3:$B$202,MATCH($B953,'Items'!$A$3:$A$202,0)),""))</f>
        <v/>
      </c>
      <c r="D953" s="4" t="n"/>
      <c r="E953" s="4" t="n"/>
      <c r="F953" s="6" t="n"/>
      <c r="G953" s="4" t="n"/>
      <c r="H953" s="4" t="n"/>
      <c r="I953" s="4" t="n"/>
      <c r="J953" s="4" t="n"/>
    </row>
    <row r="954">
      <c r="A954" s="5" t="n"/>
      <c r="B954" s="4" t="n"/>
      <c r="C954" s="8">
        <f>IF($B954="","",IFERROR(INDEX('Items'!$B$3:$B$202,MATCH($B954,'Items'!$A$3:$A$202,0)),""))</f>
        <v/>
      </c>
      <c r="D954" s="4" t="n"/>
      <c r="E954" s="4" t="n"/>
      <c r="F954" s="6" t="n"/>
      <c r="G954" s="4" t="n"/>
      <c r="H954" s="4" t="n"/>
      <c r="I954" s="4" t="n"/>
      <c r="J954" s="4" t="n"/>
    </row>
    <row r="955">
      <c r="A955" s="5" t="n"/>
      <c r="B955" s="4" t="n"/>
      <c r="C955" s="8">
        <f>IF($B955="","",IFERROR(INDEX('Items'!$B$3:$B$202,MATCH($B955,'Items'!$A$3:$A$202,0)),""))</f>
        <v/>
      </c>
      <c r="D955" s="4" t="n"/>
      <c r="E955" s="4" t="n"/>
      <c r="F955" s="6" t="n"/>
      <c r="G955" s="4" t="n"/>
      <c r="H955" s="4" t="n"/>
      <c r="I955" s="4" t="n"/>
      <c r="J955" s="4" t="n"/>
    </row>
    <row r="956">
      <c r="A956" s="5" t="n"/>
      <c r="B956" s="4" t="n"/>
      <c r="C956" s="8">
        <f>IF($B956="","",IFERROR(INDEX('Items'!$B$3:$B$202,MATCH($B956,'Items'!$A$3:$A$202,0)),""))</f>
        <v/>
      </c>
      <c r="D956" s="4" t="n"/>
      <c r="E956" s="4" t="n"/>
      <c r="F956" s="6" t="n"/>
      <c r="G956" s="4" t="n"/>
      <c r="H956" s="4" t="n"/>
      <c r="I956" s="4" t="n"/>
      <c r="J956" s="4" t="n"/>
    </row>
    <row r="957">
      <c r="A957" s="5" t="n"/>
      <c r="B957" s="4" t="n"/>
      <c r="C957" s="8">
        <f>IF($B957="","",IFERROR(INDEX('Items'!$B$3:$B$202,MATCH($B957,'Items'!$A$3:$A$202,0)),""))</f>
        <v/>
      </c>
      <c r="D957" s="4" t="n"/>
      <c r="E957" s="4" t="n"/>
      <c r="F957" s="6" t="n"/>
      <c r="G957" s="4" t="n"/>
      <c r="H957" s="4" t="n"/>
      <c r="I957" s="4" t="n"/>
      <c r="J957" s="4" t="n"/>
    </row>
    <row r="958">
      <c r="A958" s="5" t="n"/>
      <c r="B958" s="4" t="n"/>
      <c r="C958" s="8">
        <f>IF($B958="","",IFERROR(INDEX('Items'!$B$3:$B$202,MATCH($B958,'Items'!$A$3:$A$202,0)),""))</f>
        <v/>
      </c>
      <c r="D958" s="4" t="n"/>
      <c r="E958" s="4" t="n"/>
      <c r="F958" s="6" t="n"/>
      <c r="G958" s="4" t="n"/>
      <c r="H958" s="4" t="n"/>
      <c r="I958" s="4" t="n"/>
      <c r="J958" s="4" t="n"/>
    </row>
    <row r="959">
      <c r="A959" s="5" t="n"/>
      <c r="B959" s="4" t="n"/>
      <c r="C959" s="8">
        <f>IF($B959="","",IFERROR(INDEX('Items'!$B$3:$B$202,MATCH($B959,'Items'!$A$3:$A$202,0)),""))</f>
        <v/>
      </c>
      <c r="D959" s="4" t="n"/>
      <c r="E959" s="4" t="n"/>
      <c r="F959" s="6" t="n"/>
      <c r="G959" s="4" t="n"/>
      <c r="H959" s="4" t="n"/>
      <c r="I959" s="4" t="n"/>
      <c r="J959" s="4" t="n"/>
    </row>
    <row r="960">
      <c r="A960" s="5" t="n"/>
      <c r="B960" s="4" t="n"/>
      <c r="C960" s="8">
        <f>IF($B960="","",IFERROR(INDEX('Items'!$B$3:$B$202,MATCH($B960,'Items'!$A$3:$A$202,0)),""))</f>
        <v/>
      </c>
      <c r="D960" s="4" t="n"/>
      <c r="E960" s="4" t="n"/>
      <c r="F960" s="6" t="n"/>
      <c r="G960" s="4" t="n"/>
      <c r="H960" s="4" t="n"/>
      <c r="I960" s="4" t="n"/>
      <c r="J960" s="4" t="n"/>
    </row>
    <row r="961">
      <c r="A961" s="5" t="n"/>
      <c r="B961" s="4" t="n"/>
      <c r="C961" s="8">
        <f>IF($B961="","",IFERROR(INDEX('Items'!$B$3:$B$202,MATCH($B961,'Items'!$A$3:$A$202,0)),""))</f>
        <v/>
      </c>
      <c r="D961" s="4" t="n"/>
      <c r="E961" s="4" t="n"/>
      <c r="F961" s="6" t="n"/>
      <c r="G961" s="4" t="n"/>
      <c r="H961" s="4" t="n"/>
      <c r="I961" s="4" t="n"/>
      <c r="J961" s="4" t="n"/>
    </row>
    <row r="962">
      <c r="A962" s="5" t="n"/>
      <c r="B962" s="4" t="n"/>
      <c r="C962" s="8">
        <f>IF($B962="","",IFERROR(INDEX('Items'!$B$3:$B$202,MATCH($B962,'Items'!$A$3:$A$202,0)),""))</f>
        <v/>
      </c>
      <c r="D962" s="4" t="n"/>
      <c r="E962" s="4" t="n"/>
      <c r="F962" s="6" t="n"/>
      <c r="G962" s="4" t="n"/>
      <c r="H962" s="4" t="n"/>
      <c r="I962" s="4" t="n"/>
      <c r="J962" s="4" t="n"/>
    </row>
    <row r="963">
      <c r="A963" s="5" t="n"/>
      <c r="B963" s="4" t="n"/>
      <c r="C963" s="8">
        <f>IF($B963="","",IFERROR(INDEX('Items'!$B$3:$B$202,MATCH($B963,'Items'!$A$3:$A$202,0)),""))</f>
        <v/>
      </c>
      <c r="D963" s="4" t="n"/>
      <c r="E963" s="4" t="n"/>
      <c r="F963" s="6" t="n"/>
      <c r="G963" s="4" t="n"/>
      <c r="H963" s="4" t="n"/>
      <c r="I963" s="4" t="n"/>
      <c r="J963" s="4" t="n"/>
    </row>
    <row r="964">
      <c r="A964" s="5" t="n"/>
      <c r="B964" s="4" t="n"/>
      <c r="C964" s="8">
        <f>IF($B964="","",IFERROR(INDEX('Items'!$B$3:$B$202,MATCH($B964,'Items'!$A$3:$A$202,0)),""))</f>
        <v/>
      </c>
      <c r="D964" s="4" t="n"/>
      <c r="E964" s="4" t="n"/>
      <c r="F964" s="6" t="n"/>
      <c r="G964" s="4" t="n"/>
      <c r="H964" s="4" t="n"/>
      <c r="I964" s="4" t="n"/>
      <c r="J964" s="4" t="n"/>
    </row>
    <row r="965">
      <c r="A965" s="5" t="n"/>
      <c r="B965" s="4" t="n"/>
      <c r="C965" s="8">
        <f>IF($B965="","",IFERROR(INDEX('Items'!$B$3:$B$202,MATCH($B965,'Items'!$A$3:$A$202,0)),""))</f>
        <v/>
      </c>
      <c r="D965" s="4" t="n"/>
      <c r="E965" s="4" t="n"/>
      <c r="F965" s="6" t="n"/>
      <c r="G965" s="4" t="n"/>
      <c r="H965" s="4" t="n"/>
      <c r="I965" s="4" t="n"/>
      <c r="J965" s="4" t="n"/>
    </row>
    <row r="966">
      <c r="A966" s="5" t="n"/>
      <c r="B966" s="4" t="n"/>
      <c r="C966" s="8">
        <f>IF($B966="","",IFERROR(INDEX('Items'!$B$3:$B$202,MATCH($B966,'Items'!$A$3:$A$202,0)),""))</f>
        <v/>
      </c>
      <c r="D966" s="4" t="n"/>
      <c r="E966" s="4" t="n"/>
      <c r="F966" s="6" t="n"/>
      <c r="G966" s="4" t="n"/>
      <c r="H966" s="4" t="n"/>
      <c r="I966" s="4" t="n"/>
      <c r="J966" s="4" t="n"/>
    </row>
    <row r="967">
      <c r="A967" s="5" t="n"/>
      <c r="B967" s="4" t="n"/>
      <c r="C967" s="8">
        <f>IF($B967="","",IFERROR(INDEX('Items'!$B$3:$B$202,MATCH($B967,'Items'!$A$3:$A$202,0)),""))</f>
        <v/>
      </c>
      <c r="D967" s="4" t="n"/>
      <c r="E967" s="4" t="n"/>
      <c r="F967" s="6" t="n"/>
      <c r="G967" s="4" t="n"/>
      <c r="H967" s="4" t="n"/>
      <c r="I967" s="4" t="n"/>
      <c r="J967" s="4" t="n"/>
    </row>
    <row r="968">
      <c r="A968" s="5" t="n"/>
      <c r="B968" s="4" t="n"/>
      <c r="C968" s="8">
        <f>IF($B968="","",IFERROR(INDEX('Items'!$B$3:$B$202,MATCH($B968,'Items'!$A$3:$A$202,0)),""))</f>
        <v/>
      </c>
      <c r="D968" s="4" t="n"/>
      <c r="E968" s="4" t="n"/>
      <c r="F968" s="6" t="n"/>
      <c r="G968" s="4" t="n"/>
      <c r="H968" s="4" t="n"/>
      <c r="I968" s="4" t="n"/>
      <c r="J968" s="4" t="n"/>
    </row>
    <row r="969">
      <c r="A969" s="5" t="n"/>
      <c r="B969" s="4" t="n"/>
      <c r="C969" s="8">
        <f>IF($B969="","",IFERROR(INDEX('Items'!$B$3:$B$202,MATCH($B969,'Items'!$A$3:$A$202,0)),""))</f>
        <v/>
      </c>
      <c r="D969" s="4" t="n"/>
      <c r="E969" s="4" t="n"/>
      <c r="F969" s="6" t="n"/>
      <c r="G969" s="4" t="n"/>
      <c r="H969" s="4" t="n"/>
      <c r="I969" s="4" t="n"/>
      <c r="J969" s="4" t="n"/>
    </row>
    <row r="970">
      <c r="A970" s="5" t="n"/>
      <c r="B970" s="4" t="n"/>
      <c r="C970" s="8">
        <f>IF($B970="","",IFERROR(INDEX('Items'!$B$3:$B$202,MATCH($B970,'Items'!$A$3:$A$202,0)),""))</f>
        <v/>
      </c>
      <c r="D970" s="4" t="n"/>
      <c r="E970" s="4" t="n"/>
      <c r="F970" s="6" t="n"/>
      <c r="G970" s="4" t="n"/>
      <c r="H970" s="4" t="n"/>
      <c r="I970" s="4" t="n"/>
      <c r="J970" s="4" t="n"/>
    </row>
    <row r="971">
      <c r="A971" s="5" t="n"/>
      <c r="B971" s="4" t="n"/>
      <c r="C971" s="8">
        <f>IF($B971="","",IFERROR(INDEX('Items'!$B$3:$B$202,MATCH($B971,'Items'!$A$3:$A$202,0)),""))</f>
        <v/>
      </c>
      <c r="D971" s="4" t="n"/>
      <c r="E971" s="4" t="n"/>
      <c r="F971" s="6" t="n"/>
      <c r="G971" s="4" t="n"/>
      <c r="H971" s="4" t="n"/>
      <c r="I971" s="4" t="n"/>
      <c r="J971" s="4" t="n"/>
    </row>
    <row r="972">
      <c r="A972" s="5" t="n"/>
      <c r="B972" s="4" t="n"/>
      <c r="C972" s="8">
        <f>IF($B972="","",IFERROR(INDEX('Items'!$B$3:$B$202,MATCH($B972,'Items'!$A$3:$A$202,0)),""))</f>
        <v/>
      </c>
      <c r="D972" s="4" t="n"/>
      <c r="E972" s="4" t="n"/>
      <c r="F972" s="6" t="n"/>
      <c r="G972" s="4" t="n"/>
      <c r="H972" s="4" t="n"/>
      <c r="I972" s="4" t="n"/>
      <c r="J972" s="4" t="n"/>
    </row>
    <row r="973">
      <c r="A973" s="5" t="n"/>
      <c r="B973" s="4" t="n"/>
      <c r="C973" s="8">
        <f>IF($B973="","",IFERROR(INDEX('Items'!$B$3:$B$202,MATCH($B973,'Items'!$A$3:$A$202,0)),""))</f>
        <v/>
      </c>
      <c r="D973" s="4" t="n"/>
      <c r="E973" s="4" t="n"/>
      <c r="F973" s="6" t="n"/>
      <c r="G973" s="4" t="n"/>
      <c r="H973" s="4" t="n"/>
      <c r="I973" s="4" t="n"/>
      <c r="J973" s="4" t="n"/>
    </row>
    <row r="974">
      <c r="A974" s="5" t="n"/>
      <c r="B974" s="4" t="n"/>
      <c r="C974" s="8">
        <f>IF($B974="","",IFERROR(INDEX('Items'!$B$3:$B$202,MATCH($B974,'Items'!$A$3:$A$202,0)),""))</f>
        <v/>
      </c>
      <c r="D974" s="4" t="n"/>
      <c r="E974" s="4" t="n"/>
      <c r="F974" s="6" t="n"/>
      <c r="G974" s="4" t="n"/>
      <c r="H974" s="4" t="n"/>
      <c r="I974" s="4" t="n"/>
      <c r="J974" s="4" t="n"/>
    </row>
    <row r="975">
      <c r="A975" s="5" t="n"/>
      <c r="B975" s="4" t="n"/>
      <c r="C975" s="8">
        <f>IF($B975="","",IFERROR(INDEX('Items'!$B$3:$B$202,MATCH($B975,'Items'!$A$3:$A$202,0)),""))</f>
        <v/>
      </c>
      <c r="D975" s="4" t="n"/>
      <c r="E975" s="4" t="n"/>
      <c r="F975" s="6" t="n"/>
      <c r="G975" s="4" t="n"/>
      <c r="H975" s="4" t="n"/>
      <c r="I975" s="4" t="n"/>
      <c r="J975" s="4" t="n"/>
    </row>
    <row r="976">
      <c r="A976" s="5" t="n"/>
      <c r="B976" s="4" t="n"/>
      <c r="C976" s="8">
        <f>IF($B976="","",IFERROR(INDEX('Items'!$B$3:$B$202,MATCH($B976,'Items'!$A$3:$A$202,0)),""))</f>
        <v/>
      </c>
      <c r="D976" s="4" t="n"/>
      <c r="E976" s="4" t="n"/>
      <c r="F976" s="6" t="n"/>
      <c r="G976" s="4" t="n"/>
      <c r="H976" s="4" t="n"/>
      <c r="I976" s="4" t="n"/>
      <c r="J976" s="4" t="n"/>
    </row>
    <row r="977">
      <c r="A977" s="5" t="n"/>
      <c r="B977" s="4" t="n"/>
      <c r="C977" s="8">
        <f>IF($B977="","",IFERROR(INDEX('Items'!$B$3:$B$202,MATCH($B977,'Items'!$A$3:$A$202,0)),""))</f>
        <v/>
      </c>
      <c r="D977" s="4" t="n"/>
      <c r="E977" s="4" t="n"/>
      <c r="F977" s="6" t="n"/>
      <c r="G977" s="4" t="n"/>
      <c r="H977" s="4" t="n"/>
      <c r="I977" s="4" t="n"/>
      <c r="J977" s="4" t="n"/>
    </row>
    <row r="978">
      <c r="A978" s="5" t="n"/>
      <c r="B978" s="4" t="n"/>
      <c r="C978" s="8">
        <f>IF($B978="","",IFERROR(INDEX('Items'!$B$3:$B$202,MATCH($B978,'Items'!$A$3:$A$202,0)),""))</f>
        <v/>
      </c>
      <c r="D978" s="4" t="n"/>
      <c r="E978" s="4" t="n"/>
      <c r="F978" s="6" t="n"/>
      <c r="G978" s="4" t="n"/>
      <c r="H978" s="4" t="n"/>
      <c r="I978" s="4" t="n"/>
      <c r="J978" s="4" t="n"/>
    </row>
    <row r="979">
      <c r="A979" s="5" t="n"/>
      <c r="B979" s="4" t="n"/>
      <c r="C979" s="8">
        <f>IF($B979="","",IFERROR(INDEX('Items'!$B$3:$B$202,MATCH($B979,'Items'!$A$3:$A$202,0)),""))</f>
        <v/>
      </c>
      <c r="D979" s="4" t="n"/>
      <c r="E979" s="4" t="n"/>
      <c r="F979" s="6" t="n"/>
      <c r="G979" s="4" t="n"/>
      <c r="H979" s="4" t="n"/>
      <c r="I979" s="4" t="n"/>
      <c r="J979" s="4" t="n"/>
    </row>
    <row r="980">
      <c r="A980" s="5" t="n"/>
      <c r="B980" s="4" t="n"/>
      <c r="C980" s="8">
        <f>IF($B980="","",IFERROR(INDEX('Items'!$B$3:$B$202,MATCH($B980,'Items'!$A$3:$A$202,0)),""))</f>
        <v/>
      </c>
      <c r="D980" s="4" t="n"/>
      <c r="E980" s="4" t="n"/>
      <c r="F980" s="6" t="n"/>
      <c r="G980" s="4" t="n"/>
      <c r="H980" s="4" t="n"/>
      <c r="I980" s="4" t="n"/>
      <c r="J980" s="4" t="n"/>
    </row>
    <row r="981">
      <c r="A981" s="5" t="n"/>
      <c r="B981" s="4" t="n"/>
      <c r="C981" s="8">
        <f>IF($B981="","",IFERROR(INDEX('Items'!$B$3:$B$202,MATCH($B981,'Items'!$A$3:$A$202,0)),""))</f>
        <v/>
      </c>
      <c r="D981" s="4" t="n"/>
      <c r="E981" s="4" t="n"/>
      <c r="F981" s="6" t="n"/>
      <c r="G981" s="4" t="n"/>
      <c r="H981" s="4" t="n"/>
      <c r="I981" s="4" t="n"/>
      <c r="J981" s="4" t="n"/>
    </row>
    <row r="982">
      <c r="A982" s="5" t="n"/>
      <c r="B982" s="4" t="n"/>
      <c r="C982" s="8">
        <f>IF($B982="","",IFERROR(INDEX('Items'!$B$3:$B$202,MATCH($B982,'Items'!$A$3:$A$202,0)),""))</f>
        <v/>
      </c>
      <c r="D982" s="4" t="n"/>
      <c r="E982" s="4" t="n"/>
      <c r="F982" s="6" t="n"/>
      <c r="G982" s="4" t="n"/>
      <c r="H982" s="4" t="n"/>
      <c r="I982" s="4" t="n"/>
      <c r="J982" s="4" t="n"/>
    </row>
    <row r="983">
      <c r="A983" s="5" t="n"/>
      <c r="B983" s="4" t="n"/>
      <c r="C983" s="8">
        <f>IF($B983="","",IFERROR(INDEX('Items'!$B$3:$B$202,MATCH($B983,'Items'!$A$3:$A$202,0)),""))</f>
        <v/>
      </c>
      <c r="D983" s="4" t="n"/>
      <c r="E983" s="4" t="n"/>
      <c r="F983" s="6" t="n"/>
      <c r="G983" s="4" t="n"/>
      <c r="H983" s="4" t="n"/>
      <c r="I983" s="4" t="n"/>
      <c r="J983" s="4" t="n"/>
    </row>
    <row r="984">
      <c r="A984" s="5" t="n"/>
      <c r="B984" s="4" t="n"/>
      <c r="C984" s="8">
        <f>IF($B984="","",IFERROR(INDEX('Items'!$B$3:$B$202,MATCH($B984,'Items'!$A$3:$A$202,0)),""))</f>
        <v/>
      </c>
      <c r="D984" s="4" t="n"/>
      <c r="E984" s="4" t="n"/>
      <c r="F984" s="6" t="n"/>
      <c r="G984" s="4" t="n"/>
      <c r="H984" s="4" t="n"/>
      <c r="I984" s="4" t="n"/>
      <c r="J984" s="4" t="n"/>
    </row>
    <row r="985">
      <c r="A985" s="5" t="n"/>
      <c r="B985" s="4" t="n"/>
      <c r="C985" s="8">
        <f>IF($B985="","",IFERROR(INDEX('Items'!$B$3:$B$202,MATCH($B985,'Items'!$A$3:$A$202,0)),""))</f>
        <v/>
      </c>
      <c r="D985" s="4" t="n"/>
      <c r="E985" s="4" t="n"/>
      <c r="F985" s="6" t="n"/>
      <c r="G985" s="4" t="n"/>
      <c r="H985" s="4" t="n"/>
      <c r="I985" s="4" t="n"/>
      <c r="J985" s="4" t="n"/>
    </row>
    <row r="986">
      <c r="A986" s="5" t="n"/>
      <c r="B986" s="4" t="n"/>
      <c r="C986" s="8">
        <f>IF($B986="","",IFERROR(INDEX('Items'!$B$3:$B$202,MATCH($B986,'Items'!$A$3:$A$202,0)),""))</f>
        <v/>
      </c>
      <c r="D986" s="4" t="n"/>
      <c r="E986" s="4" t="n"/>
      <c r="F986" s="6" t="n"/>
      <c r="G986" s="4" t="n"/>
      <c r="H986" s="4" t="n"/>
      <c r="I986" s="4" t="n"/>
      <c r="J986" s="4" t="n"/>
    </row>
    <row r="987">
      <c r="A987" s="5" t="n"/>
      <c r="B987" s="4" t="n"/>
      <c r="C987" s="8">
        <f>IF($B987="","",IFERROR(INDEX('Items'!$B$3:$B$202,MATCH($B987,'Items'!$A$3:$A$202,0)),""))</f>
        <v/>
      </c>
      <c r="D987" s="4" t="n"/>
      <c r="E987" s="4" t="n"/>
      <c r="F987" s="6" t="n"/>
      <c r="G987" s="4" t="n"/>
      <c r="H987" s="4" t="n"/>
      <c r="I987" s="4" t="n"/>
      <c r="J987" s="4" t="n"/>
    </row>
    <row r="988">
      <c r="A988" s="5" t="n"/>
      <c r="B988" s="4" t="n"/>
      <c r="C988" s="8">
        <f>IF($B988="","",IFERROR(INDEX('Items'!$B$3:$B$202,MATCH($B988,'Items'!$A$3:$A$202,0)),""))</f>
        <v/>
      </c>
      <c r="D988" s="4" t="n"/>
      <c r="E988" s="4" t="n"/>
      <c r="F988" s="6" t="n"/>
      <c r="G988" s="4" t="n"/>
      <c r="H988" s="4" t="n"/>
      <c r="I988" s="4" t="n"/>
      <c r="J988" s="4" t="n"/>
    </row>
    <row r="989">
      <c r="A989" s="5" t="n"/>
      <c r="B989" s="4" t="n"/>
      <c r="C989" s="8">
        <f>IF($B989="","",IFERROR(INDEX('Items'!$B$3:$B$202,MATCH($B989,'Items'!$A$3:$A$202,0)),""))</f>
        <v/>
      </c>
      <c r="D989" s="4" t="n"/>
      <c r="E989" s="4" t="n"/>
      <c r="F989" s="6" t="n"/>
      <c r="G989" s="4" t="n"/>
      <c r="H989" s="4" t="n"/>
      <c r="I989" s="4" t="n"/>
      <c r="J989" s="4" t="n"/>
    </row>
    <row r="990">
      <c r="A990" s="5" t="n"/>
      <c r="B990" s="4" t="n"/>
      <c r="C990" s="8">
        <f>IF($B990="","",IFERROR(INDEX('Items'!$B$3:$B$202,MATCH($B990,'Items'!$A$3:$A$202,0)),""))</f>
        <v/>
      </c>
      <c r="D990" s="4" t="n"/>
      <c r="E990" s="4" t="n"/>
      <c r="F990" s="6" t="n"/>
      <c r="G990" s="4" t="n"/>
      <c r="H990" s="4" t="n"/>
      <c r="I990" s="4" t="n"/>
      <c r="J990" s="4" t="n"/>
    </row>
    <row r="991">
      <c r="A991" s="5" t="n"/>
      <c r="B991" s="4" t="n"/>
      <c r="C991" s="8">
        <f>IF($B991="","",IFERROR(INDEX('Items'!$B$3:$B$202,MATCH($B991,'Items'!$A$3:$A$202,0)),""))</f>
        <v/>
      </c>
      <c r="D991" s="4" t="n"/>
      <c r="E991" s="4" t="n"/>
      <c r="F991" s="6" t="n"/>
      <c r="G991" s="4" t="n"/>
      <c r="H991" s="4" t="n"/>
      <c r="I991" s="4" t="n"/>
      <c r="J991" s="4" t="n"/>
    </row>
    <row r="992">
      <c r="A992" s="5" t="n"/>
      <c r="B992" s="4" t="n"/>
      <c r="C992" s="8">
        <f>IF($B992="","",IFERROR(INDEX('Items'!$B$3:$B$202,MATCH($B992,'Items'!$A$3:$A$202,0)),""))</f>
        <v/>
      </c>
      <c r="D992" s="4" t="n"/>
      <c r="E992" s="4" t="n"/>
      <c r="F992" s="6" t="n"/>
      <c r="G992" s="4" t="n"/>
      <c r="H992" s="4" t="n"/>
      <c r="I992" s="4" t="n"/>
      <c r="J992" s="4" t="n"/>
    </row>
    <row r="993">
      <c r="A993" s="5" t="n"/>
      <c r="B993" s="4" t="n"/>
      <c r="C993" s="8">
        <f>IF($B993="","",IFERROR(INDEX('Items'!$B$3:$B$202,MATCH($B993,'Items'!$A$3:$A$202,0)),""))</f>
        <v/>
      </c>
      <c r="D993" s="4" t="n"/>
      <c r="E993" s="4" t="n"/>
      <c r="F993" s="6" t="n"/>
      <c r="G993" s="4" t="n"/>
      <c r="H993" s="4" t="n"/>
      <c r="I993" s="4" t="n"/>
      <c r="J993" s="4" t="n"/>
    </row>
    <row r="994">
      <c r="A994" s="5" t="n"/>
      <c r="B994" s="4" t="n"/>
      <c r="C994" s="8">
        <f>IF($B994="","",IFERROR(INDEX('Items'!$B$3:$B$202,MATCH($B994,'Items'!$A$3:$A$202,0)),""))</f>
        <v/>
      </c>
      <c r="D994" s="4" t="n"/>
      <c r="E994" s="4" t="n"/>
      <c r="F994" s="6" t="n"/>
      <c r="G994" s="4" t="n"/>
      <c r="H994" s="4" t="n"/>
      <c r="I994" s="4" t="n"/>
      <c r="J994" s="4" t="n"/>
    </row>
    <row r="995">
      <c r="A995" s="5" t="n"/>
      <c r="B995" s="4" t="n"/>
      <c r="C995" s="8">
        <f>IF($B995="","",IFERROR(INDEX('Items'!$B$3:$B$202,MATCH($B995,'Items'!$A$3:$A$202,0)),""))</f>
        <v/>
      </c>
      <c r="D995" s="4" t="n"/>
      <c r="E995" s="4" t="n"/>
      <c r="F995" s="6" t="n"/>
      <c r="G995" s="4" t="n"/>
      <c r="H995" s="4" t="n"/>
      <c r="I995" s="4" t="n"/>
      <c r="J995" s="4" t="n"/>
    </row>
    <row r="996">
      <c r="A996" s="5" t="n"/>
      <c r="B996" s="4" t="n"/>
      <c r="C996" s="8">
        <f>IF($B996="","",IFERROR(INDEX('Items'!$B$3:$B$202,MATCH($B996,'Items'!$A$3:$A$202,0)),""))</f>
        <v/>
      </c>
      <c r="D996" s="4" t="n"/>
      <c r="E996" s="4" t="n"/>
      <c r="F996" s="6" t="n"/>
      <c r="G996" s="4" t="n"/>
      <c r="H996" s="4" t="n"/>
      <c r="I996" s="4" t="n"/>
      <c r="J996" s="4" t="n"/>
    </row>
    <row r="997">
      <c r="A997" s="5" t="n"/>
      <c r="B997" s="4" t="n"/>
      <c r="C997" s="8">
        <f>IF($B997="","",IFERROR(INDEX('Items'!$B$3:$B$202,MATCH($B997,'Items'!$A$3:$A$202,0)),""))</f>
        <v/>
      </c>
      <c r="D997" s="4" t="n"/>
      <c r="E997" s="4" t="n"/>
      <c r="F997" s="6" t="n"/>
      <c r="G997" s="4" t="n"/>
      <c r="H997" s="4" t="n"/>
      <c r="I997" s="4" t="n"/>
      <c r="J997" s="4" t="n"/>
    </row>
    <row r="998">
      <c r="A998" s="5" t="n"/>
      <c r="B998" s="4" t="n"/>
      <c r="C998" s="8">
        <f>IF($B998="","",IFERROR(INDEX('Items'!$B$3:$B$202,MATCH($B998,'Items'!$A$3:$A$202,0)),""))</f>
        <v/>
      </c>
      <c r="D998" s="4" t="n"/>
      <c r="E998" s="4" t="n"/>
      <c r="F998" s="6" t="n"/>
      <c r="G998" s="4" t="n"/>
      <c r="H998" s="4" t="n"/>
      <c r="I998" s="4" t="n"/>
      <c r="J998" s="4" t="n"/>
    </row>
    <row r="999">
      <c r="A999" s="5" t="n"/>
      <c r="B999" s="4" t="n"/>
      <c r="C999" s="8">
        <f>IF($B999="","",IFERROR(INDEX('Items'!$B$3:$B$202,MATCH($B999,'Items'!$A$3:$A$202,0)),""))</f>
        <v/>
      </c>
      <c r="D999" s="4" t="n"/>
      <c r="E999" s="4" t="n"/>
      <c r="F999" s="6" t="n"/>
      <c r="G999" s="4" t="n"/>
      <c r="H999" s="4" t="n"/>
      <c r="I999" s="4" t="n"/>
      <c r="J999" s="4" t="n"/>
    </row>
    <row r="1000">
      <c r="A1000" s="5" t="n"/>
      <c r="B1000" s="4" t="n"/>
      <c r="C1000" s="8">
        <f>IF($B1000="","",IFERROR(INDEX('Items'!$B$3:$B$202,MATCH($B1000,'Items'!$A$3:$A$202,0)),""))</f>
        <v/>
      </c>
      <c r="D1000" s="4" t="n"/>
      <c r="E1000" s="4" t="n"/>
      <c r="F1000" s="6" t="n"/>
      <c r="G1000" s="4" t="n"/>
      <c r="H1000" s="4" t="n"/>
      <c r="I1000" s="4" t="n"/>
      <c r="J1000" s="4" t="n"/>
    </row>
    <row r="1001">
      <c r="A1001" s="5" t="n"/>
      <c r="B1001" s="4" t="n"/>
      <c r="C1001" s="8">
        <f>IF($B1001="","",IFERROR(INDEX('Items'!$B$3:$B$202,MATCH($B1001,'Items'!$A$3:$A$202,0)),""))</f>
        <v/>
      </c>
      <c r="D1001" s="4" t="n"/>
      <c r="E1001" s="4" t="n"/>
      <c r="F1001" s="6" t="n"/>
      <c r="G1001" s="4" t="n"/>
      <c r="H1001" s="4" t="n"/>
      <c r="I1001" s="4" t="n"/>
      <c r="J1001" s="4" t="n"/>
    </row>
    <row r="1002">
      <c r="A1002" s="5" t="n"/>
      <c r="B1002" s="4" t="n"/>
      <c r="C1002" s="8">
        <f>IF($B1002="","",IFERROR(INDEX('Items'!$B$3:$B$202,MATCH($B1002,'Items'!$A$3:$A$202,0)),""))</f>
        <v/>
      </c>
      <c r="D1002" s="4" t="n"/>
      <c r="E1002" s="4" t="n"/>
      <c r="F1002" s="6" t="n"/>
      <c r="G1002" s="4" t="n"/>
      <c r="H1002" s="4" t="n"/>
      <c r="I1002" s="4" t="n"/>
      <c r="J1002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J1002"/>
  <mergeCells count="1">
    <mergeCell ref="A1:J1"/>
  </mergeCells>
  <dataValidations count="3">
    <dataValidation sqref="E3:E1002" showDropDown="0" showInputMessage="0" showErrorMessage="0" allowBlank="1" errorTitle="Not in the list" error="Pick from the list." type="list">
      <formula1>=MoveTypes</formula1>
    </dataValidation>
    <dataValidation sqref="G3:H1002" showDropDown="0" showInputMessage="0" showErrorMessage="0" allowBlank="1" errorTitle="Not in the list" error="Pick from the list." type="list">
      <formula1>=Branches</formula1>
    </dataValidation>
    <dataValidation sqref="J3:J1002" showDropDown="0" showInputMessage="0" showErrorMessage="0" allowBlank="1" errorTitle="Not in the list" error="Pick from the list." type="list">
      <formula1>=Staff</formula1>
    </dataValidation>
  </dataValidations>
  <pageMargins left="0.75" right="0.75" top="1" bottom="1" header="0.5" footer="0.5"/>
  <pageSetup paperSize="9" fitToHeight="0" fitToWidth="1"/>
</worksheet>
</file>

<file path=xl/worksheets/sheet6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M207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14" customWidth="1" min="3" max="3"/>
    <col width="24" customWidth="1" min="4" max="4"/>
    <col width="9" customWidth="1" min="5" max="5"/>
    <col width="10" customWidth="1" min="6" max="6"/>
    <col width="10" customWidth="1" min="7" max="7"/>
    <col width="16" customWidth="1" min="8" max="8"/>
    <col width="12" customWidth="1" min="9" max="9"/>
    <col width="12" customWidth="1" min="10" max="10"/>
    <col width="10" customWidth="1" min="11" max="11"/>
    <col width="12" customWidth="1" min="12" max="12"/>
    <col width="10" customWidth="1" min="13" max="13"/>
  </cols>
  <sheetData>
    <row r="1">
      <c r="A1" s="17" t="inlineStr">
        <is>
          <t>Balance by item and branch</t>
        </is>
      </c>
    </row>
    <row r="2" ht="32" customHeight="1">
      <c r="A2" s="7" t="inlineStr">
        <is>
          <t>Code</t>
        </is>
      </c>
      <c r="B2" s="7" t="inlineStr">
        <is>
          <t>Item</t>
        </is>
      </c>
      <c r="C2" s="7" t="inlineStr">
        <is>
          <t>Branch</t>
        </is>
      </c>
      <c r="D2" s="7" t="inlineStr">
        <is>
          <t>Supplier</t>
        </is>
      </c>
      <c r="E2" s="7" t="inlineStr">
        <is>
          <t>Unit</t>
        </is>
      </c>
      <c r="F2" s="7" t="inlineStr">
        <is>
          <t>On hand</t>
        </is>
      </c>
      <c r="G2" s="7" t="inlineStr">
        <is>
          <t>Minimum</t>
        </is>
      </c>
      <c r="H2" s="7" t="inlineStr">
        <is>
          <t>Status</t>
        </is>
      </c>
      <c r="I2" s="7" t="inlineStr">
        <is>
          <t>Next expiry</t>
        </is>
      </c>
      <c r="J2" s="7" t="inlineStr">
        <is>
          <t>Expiring within 60 days</t>
        </is>
      </c>
      <c r="K2" s="7" t="inlineStr">
        <is>
          <t>Last price</t>
        </is>
      </c>
      <c r="L2" s="7" t="inlineStr">
        <is>
          <t>Value</t>
        </is>
      </c>
      <c r="M2" s="7" t="inlineStr">
        <is>
          <t>Order key</t>
        </is>
      </c>
    </row>
    <row r="3">
      <c r="A3" s="8">
        <f>IF('Items'!$A3="","",'Items'!$A3)</f>
        <v/>
      </c>
      <c r="B3" s="8">
        <f>IF($A3="","",'Items'!$B3)</f>
        <v/>
      </c>
      <c r="C3" s="8">
        <f>IF($A3="","",'Items'!$K3)</f>
        <v/>
      </c>
      <c r="D3" s="8">
        <f>IF($A3="","",'Items'!$E3)</f>
        <v/>
      </c>
      <c r="E3" s="8">
        <f>IF($A3="","",'Items'!$D3)</f>
        <v/>
      </c>
      <c r="F3" s="16">
        <f>IF($A3="","",SUMIFS('Batches'!$E$3:$E$302,'Batches'!$A$3:$A$302,$A3,'Batches'!$G$3:$G$302,$C3)+SUMIFS('Movements'!$F$3:$F$1002,'Movements'!$B$3:$B$1002,$A3,'Movements'!$E$3:$E$1002,"In",'Movements'!$H$3:$H$1002,$C3)-SUMIFS('Movements'!$F$3:$F$1002,'Movements'!$B$3:$B$1002,$A3,'Movements'!$E$3:$E$1002,"Out",'Movements'!$G$3:$G$1002,$C3)-SUMIFS('Movements'!$F$3:$F$1002,'Movements'!$B$3:$B$1002,$A3,'Movements'!$E$3:$E$1002,"Waste",'Movements'!$G$3:$G$1002,$C3)+SUMIFS('Movements'!$F$3:$F$1002,'Movements'!$B$3:$B$1002,$A3,'Movements'!$E$3:$E$1002,"Transfer",'Movements'!$H$3:$H$1002,$C3)-SUMIFS('Movements'!$F$3:$F$1002,'Movements'!$B$3:$B$1002,$A3,'Movements'!$E$3:$E$1002,"Transfer",'Movements'!$G$3:$G$1002,$C3))</f>
        <v/>
      </c>
      <c r="G3" s="15">
        <f>IF($A3="","",'Items'!$I3)</f>
        <v/>
      </c>
      <c r="H3" s="8">
        <f>IF(OR($A3="",$G3=""),"",IF($F3&lt;$G3,"Below minimum","OK"))</f>
        <v/>
      </c>
      <c r="I3" s="18">
        <f>IF($A3="","",IF(SUMPRODUCT(SMALL(('Batches'!$A$3:$A$302=$A3)*('Batches'!$G$3:$G$302=$C3)*('Batches'!$D$3:$D$302&gt;0)*('Batches'!$H$3:$H$302&gt;0)*'Batches'!$D$3:$D$302+(1-('Batches'!$A$3:$A$302=$A3)*('Batches'!$G$3:$G$302=$C3)*('Batches'!$D$3:$D$302&gt;0)*('Batches'!$H$3:$H$302&gt;0))*100000,1))&gt;=100000,"",SUMPRODUCT(SMALL(('Batches'!$A$3:$A$302=$A3)*('Batches'!$G$3:$G$302=$C3)*('Batches'!$D$3:$D$302&gt;0)*('Batches'!$H$3:$H$302&gt;0)*'Batches'!$D$3:$D$302+(1-('Batches'!$A$3:$A$302=$A3)*('Batches'!$G$3:$G$302=$C3)*('Batches'!$D$3:$D$302&gt;0)*('Batches'!$H$3:$H$302&gt;0))*100000,1))))</f>
        <v/>
      </c>
      <c r="J3" s="16">
        <f>IF($A3="","",SUMIFS('Batches'!$H$3:$H$302,'Batches'!$A$3:$A$302,$A3,'Batches'!$G$3:$G$302,$C3,'Batches'!$D$3:$D$302,"&gt;0",'Batches'!$D$3:$D$302,"&lt;="&amp;('Settings'!$B$6+'Settings'!$B$7)))</f>
        <v/>
      </c>
      <c r="K3" s="19">
        <f>IF($A3="","",'Items'!$F3)</f>
        <v/>
      </c>
      <c r="L3" s="19">
        <f>IF($A3="","",$F3*$K3)</f>
        <v/>
      </c>
      <c r="M3" s="16">
        <f>IF($A3="","",IF(AND($H3="Below minimum",OR('Order list'!$B$4="",$D3='Order list'!$B$4)),IFERROR(MATCH($D3,Suppliers,0),99)*10000+ROW(),""))</f>
        <v/>
      </c>
    </row>
    <row r="4">
      <c r="A4" s="8">
        <f>IF('Items'!$A4="","",'Items'!$A4)</f>
        <v/>
      </c>
      <c r="B4" s="8">
        <f>IF($A4="","",'Items'!$B4)</f>
        <v/>
      </c>
      <c r="C4" s="8">
        <f>IF($A4="","",'Items'!$K4)</f>
        <v/>
      </c>
      <c r="D4" s="8">
        <f>IF($A4="","",'Items'!$E4)</f>
        <v/>
      </c>
      <c r="E4" s="8">
        <f>IF($A4="","",'Items'!$D4)</f>
        <v/>
      </c>
      <c r="F4" s="16">
        <f>IF($A4="","",SUMIFS('Batches'!$E$3:$E$302,'Batches'!$A$3:$A$302,$A4,'Batches'!$G$3:$G$302,$C4)+SUMIFS('Movements'!$F$3:$F$1002,'Movements'!$B$3:$B$1002,$A4,'Movements'!$E$3:$E$1002,"In",'Movements'!$H$3:$H$1002,$C4)-SUMIFS('Movements'!$F$3:$F$1002,'Movements'!$B$3:$B$1002,$A4,'Movements'!$E$3:$E$1002,"Out",'Movements'!$G$3:$G$1002,$C4)-SUMIFS('Movements'!$F$3:$F$1002,'Movements'!$B$3:$B$1002,$A4,'Movements'!$E$3:$E$1002,"Waste",'Movements'!$G$3:$G$1002,$C4)+SUMIFS('Movements'!$F$3:$F$1002,'Movements'!$B$3:$B$1002,$A4,'Movements'!$E$3:$E$1002,"Transfer",'Movements'!$H$3:$H$1002,$C4)-SUMIFS('Movements'!$F$3:$F$1002,'Movements'!$B$3:$B$1002,$A4,'Movements'!$E$3:$E$1002,"Transfer",'Movements'!$G$3:$G$1002,$C4))</f>
        <v/>
      </c>
      <c r="G4" s="15">
        <f>IF($A4="","",'Items'!$I4)</f>
        <v/>
      </c>
      <c r="H4" s="8">
        <f>IF(OR($A4="",$G4=""),"",IF($F4&lt;$G4,"Below minimum","OK"))</f>
        <v/>
      </c>
      <c r="I4" s="18">
        <f>IF($A4="","",IF(SUMPRODUCT(SMALL(('Batches'!$A$3:$A$302=$A4)*('Batches'!$G$3:$G$302=$C4)*('Batches'!$D$3:$D$302&gt;0)*('Batches'!$H$3:$H$302&gt;0)*'Batches'!$D$3:$D$302+(1-('Batches'!$A$3:$A$302=$A4)*('Batches'!$G$3:$G$302=$C4)*('Batches'!$D$3:$D$302&gt;0)*('Batches'!$H$3:$H$302&gt;0))*100000,1))&gt;=100000,"",SUMPRODUCT(SMALL(('Batches'!$A$3:$A$302=$A4)*('Batches'!$G$3:$G$302=$C4)*('Batches'!$D$3:$D$302&gt;0)*('Batches'!$H$3:$H$302&gt;0)*'Batches'!$D$3:$D$302+(1-('Batches'!$A$3:$A$302=$A4)*('Batches'!$G$3:$G$302=$C4)*('Batches'!$D$3:$D$302&gt;0)*('Batches'!$H$3:$H$302&gt;0))*100000,1))))</f>
        <v/>
      </c>
      <c r="J4" s="16">
        <f>IF($A4="","",SUMIFS('Batches'!$H$3:$H$302,'Batches'!$A$3:$A$302,$A4,'Batches'!$G$3:$G$302,$C4,'Batches'!$D$3:$D$302,"&gt;0",'Batches'!$D$3:$D$302,"&lt;="&amp;('Settings'!$B$6+'Settings'!$B$7)))</f>
        <v/>
      </c>
      <c r="K4" s="19">
        <f>IF($A4="","",'Items'!$F4)</f>
        <v/>
      </c>
      <c r="L4" s="19">
        <f>IF($A4="","",$F4*$K4)</f>
        <v/>
      </c>
      <c r="M4" s="16">
        <f>IF($A4="","",IF(AND($H4="Below minimum",OR('Order list'!$B$4="",$D4='Order list'!$B$4)),IFERROR(MATCH($D4,Suppliers,0),99)*10000+ROW(),""))</f>
        <v/>
      </c>
    </row>
    <row r="5">
      <c r="A5" s="8">
        <f>IF('Items'!$A5="","",'Items'!$A5)</f>
        <v/>
      </c>
      <c r="B5" s="8">
        <f>IF($A5="","",'Items'!$B5)</f>
        <v/>
      </c>
      <c r="C5" s="8">
        <f>IF($A5="","",'Items'!$K5)</f>
        <v/>
      </c>
      <c r="D5" s="8">
        <f>IF($A5="","",'Items'!$E5)</f>
        <v/>
      </c>
      <c r="E5" s="8">
        <f>IF($A5="","",'Items'!$D5)</f>
        <v/>
      </c>
      <c r="F5" s="16">
        <f>IF($A5="","",SUMIFS('Batches'!$E$3:$E$302,'Batches'!$A$3:$A$302,$A5,'Batches'!$G$3:$G$302,$C5)+SUMIFS('Movements'!$F$3:$F$1002,'Movements'!$B$3:$B$1002,$A5,'Movements'!$E$3:$E$1002,"In",'Movements'!$H$3:$H$1002,$C5)-SUMIFS('Movements'!$F$3:$F$1002,'Movements'!$B$3:$B$1002,$A5,'Movements'!$E$3:$E$1002,"Out",'Movements'!$G$3:$G$1002,$C5)-SUMIFS('Movements'!$F$3:$F$1002,'Movements'!$B$3:$B$1002,$A5,'Movements'!$E$3:$E$1002,"Waste",'Movements'!$G$3:$G$1002,$C5)+SUMIFS('Movements'!$F$3:$F$1002,'Movements'!$B$3:$B$1002,$A5,'Movements'!$E$3:$E$1002,"Transfer",'Movements'!$H$3:$H$1002,$C5)-SUMIFS('Movements'!$F$3:$F$1002,'Movements'!$B$3:$B$1002,$A5,'Movements'!$E$3:$E$1002,"Transfer",'Movements'!$G$3:$G$1002,$C5))</f>
        <v/>
      </c>
      <c r="G5" s="15">
        <f>IF($A5="","",'Items'!$I5)</f>
        <v/>
      </c>
      <c r="H5" s="8">
        <f>IF(OR($A5="",$G5=""),"",IF($F5&lt;$G5,"Below minimum","OK"))</f>
        <v/>
      </c>
      <c r="I5" s="18">
        <f>IF($A5="","",IF(SUMPRODUCT(SMALL(('Batches'!$A$3:$A$302=$A5)*('Batches'!$G$3:$G$302=$C5)*('Batches'!$D$3:$D$302&gt;0)*('Batches'!$H$3:$H$302&gt;0)*'Batches'!$D$3:$D$302+(1-('Batches'!$A$3:$A$302=$A5)*('Batches'!$G$3:$G$302=$C5)*('Batches'!$D$3:$D$302&gt;0)*('Batches'!$H$3:$H$302&gt;0))*100000,1))&gt;=100000,"",SUMPRODUCT(SMALL(('Batches'!$A$3:$A$302=$A5)*('Batches'!$G$3:$G$302=$C5)*('Batches'!$D$3:$D$302&gt;0)*('Batches'!$H$3:$H$302&gt;0)*'Batches'!$D$3:$D$302+(1-('Batches'!$A$3:$A$302=$A5)*('Batches'!$G$3:$G$302=$C5)*('Batches'!$D$3:$D$302&gt;0)*('Batches'!$H$3:$H$302&gt;0))*100000,1))))</f>
        <v/>
      </c>
      <c r="J5" s="16">
        <f>IF($A5="","",SUMIFS('Batches'!$H$3:$H$302,'Batches'!$A$3:$A$302,$A5,'Batches'!$G$3:$G$302,$C5,'Batches'!$D$3:$D$302,"&gt;0",'Batches'!$D$3:$D$302,"&lt;="&amp;('Settings'!$B$6+'Settings'!$B$7)))</f>
        <v/>
      </c>
      <c r="K5" s="19">
        <f>IF($A5="","",'Items'!$F5)</f>
        <v/>
      </c>
      <c r="L5" s="19">
        <f>IF($A5="","",$F5*$K5)</f>
        <v/>
      </c>
      <c r="M5" s="16">
        <f>IF($A5="","",IF(AND($H5="Below minimum",OR('Order list'!$B$4="",$D5='Order list'!$B$4)),IFERROR(MATCH($D5,Suppliers,0),99)*10000+ROW(),""))</f>
        <v/>
      </c>
    </row>
    <row r="6">
      <c r="A6" s="8">
        <f>IF('Items'!$A6="","",'Items'!$A6)</f>
        <v/>
      </c>
      <c r="B6" s="8">
        <f>IF($A6="","",'Items'!$B6)</f>
        <v/>
      </c>
      <c r="C6" s="8">
        <f>IF($A6="","",'Items'!$K6)</f>
        <v/>
      </c>
      <c r="D6" s="8">
        <f>IF($A6="","",'Items'!$E6)</f>
        <v/>
      </c>
      <c r="E6" s="8">
        <f>IF($A6="","",'Items'!$D6)</f>
        <v/>
      </c>
      <c r="F6" s="16">
        <f>IF($A6="","",SUMIFS('Batches'!$E$3:$E$302,'Batches'!$A$3:$A$302,$A6,'Batches'!$G$3:$G$302,$C6)+SUMIFS('Movements'!$F$3:$F$1002,'Movements'!$B$3:$B$1002,$A6,'Movements'!$E$3:$E$1002,"In",'Movements'!$H$3:$H$1002,$C6)-SUMIFS('Movements'!$F$3:$F$1002,'Movements'!$B$3:$B$1002,$A6,'Movements'!$E$3:$E$1002,"Out",'Movements'!$G$3:$G$1002,$C6)-SUMIFS('Movements'!$F$3:$F$1002,'Movements'!$B$3:$B$1002,$A6,'Movements'!$E$3:$E$1002,"Waste",'Movements'!$G$3:$G$1002,$C6)+SUMIFS('Movements'!$F$3:$F$1002,'Movements'!$B$3:$B$1002,$A6,'Movements'!$E$3:$E$1002,"Transfer",'Movements'!$H$3:$H$1002,$C6)-SUMIFS('Movements'!$F$3:$F$1002,'Movements'!$B$3:$B$1002,$A6,'Movements'!$E$3:$E$1002,"Transfer",'Movements'!$G$3:$G$1002,$C6))</f>
        <v/>
      </c>
      <c r="G6" s="15">
        <f>IF($A6="","",'Items'!$I6)</f>
        <v/>
      </c>
      <c r="H6" s="8">
        <f>IF(OR($A6="",$G6=""),"",IF($F6&lt;$G6,"Below minimum","OK"))</f>
        <v/>
      </c>
      <c r="I6" s="18">
        <f>IF($A6="","",IF(SUMPRODUCT(SMALL(('Batches'!$A$3:$A$302=$A6)*('Batches'!$G$3:$G$302=$C6)*('Batches'!$D$3:$D$302&gt;0)*('Batches'!$H$3:$H$302&gt;0)*'Batches'!$D$3:$D$302+(1-('Batches'!$A$3:$A$302=$A6)*('Batches'!$G$3:$G$302=$C6)*('Batches'!$D$3:$D$302&gt;0)*('Batches'!$H$3:$H$302&gt;0))*100000,1))&gt;=100000,"",SUMPRODUCT(SMALL(('Batches'!$A$3:$A$302=$A6)*('Batches'!$G$3:$G$302=$C6)*('Batches'!$D$3:$D$302&gt;0)*('Batches'!$H$3:$H$302&gt;0)*'Batches'!$D$3:$D$302+(1-('Batches'!$A$3:$A$302=$A6)*('Batches'!$G$3:$G$302=$C6)*('Batches'!$D$3:$D$302&gt;0)*('Batches'!$H$3:$H$302&gt;0))*100000,1))))</f>
        <v/>
      </c>
      <c r="J6" s="16">
        <f>IF($A6="","",SUMIFS('Batches'!$H$3:$H$302,'Batches'!$A$3:$A$302,$A6,'Batches'!$G$3:$G$302,$C6,'Batches'!$D$3:$D$302,"&gt;0",'Batches'!$D$3:$D$302,"&lt;="&amp;('Settings'!$B$6+'Settings'!$B$7)))</f>
        <v/>
      </c>
      <c r="K6" s="19">
        <f>IF($A6="","",'Items'!$F6)</f>
        <v/>
      </c>
      <c r="L6" s="19">
        <f>IF($A6="","",$F6*$K6)</f>
        <v/>
      </c>
      <c r="M6" s="16">
        <f>IF($A6="","",IF(AND($H6="Below minimum",OR('Order list'!$B$4="",$D6='Order list'!$B$4)),IFERROR(MATCH($D6,Suppliers,0),99)*10000+ROW(),""))</f>
        <v/>
      </c>
    </row>
    <row r="7">
      <c r="A7" s="8">
        <f>IF('Items'!$A7="","",'Items'!$A7)</f>
        <v/>
      </c>
      <c r="B7" s="8">
        <f>IF($A7="","",'Items'!$B7)</f>
        <v/>
      </c>
      <c r="C7" s="8">
        <f>IF($A7="","",'Items'!$K7)</f>
        <v/>
      </c>
      <c r="D7" s="8">
        <f>IF($A7="","",'Items'!$E7)</f>
        <v/>
      </c>
      <c r="E7" s="8">
        <f>IF($A7="","",'Items'!$D7)</f>
        <v/>
      </c>
      <c r="F7" s="16">
        <f>IF($A7="","",SUMIFS('Batches'!$E$3:$E$302,'Batches'!$A$3:$A$302,$A7,'Batches'!$G$3:$G$302,$C7)+SUMIFS('Movements'!$F$3:$F$1002,'Movements'!$B$3:$B$1002,$A7,'Movements'!$E$3:$E$1002,"In",'Movements'!$H$3:$H$1002,$C7)-SUMIFS('Movements'!$F$3:$F$1002,'Movements'!$B$3:$B$1002,$A7,'Movements'!$E$3:$E$1002,"Out",'Movements'!$G$3:$G$1002,$C7)-SUMIFS('Movements'!$F$3:$F$1002,'Movements'!$B$3:$B$1002,$A7,'Movements'!$E$3:$E$1002,"Waste",'Movements'!$G$3:$G$1002,$C7)+SUMIFS('Movements'!$F$3:$F$1002,'Movements'!$B$3:$B$1002,$A7,'Movements'!$E$3:$E$1002,"Transfer",'Movements'!$H$3:$H$1002,$C7)-SUMIFS('Movements'!$F$3:$F$1002,'Movements'!$B$3:$B$1002,$A7,'Movements'!$E$3:$E$1002,"Transfer",'Movements'!$G$3:$G$1002,$C7))</f>
        <v/>
      </c>
      <c r="G7" s="15">
        <f>IF($A7="","",'Items'!$I7)</f>
        <v/>
      </c>
      <c r="H7" s="8">
        <f>IF(OR($A7="",$G7=""),"",IF($F7&lt;$G7,"Below minimum","OK"))</f>
        <v/>
      </c>
      <c r="I7" s="18">
        <f>IF($A7="","",IF(SUMPRODUCT(SMALL(('Batches'!$A$3:$A$302=$A7)*('Batches'!$G$3:$G$302=$C7)*('Batches'!$D$3:$D$302&gt;0)*('Batches'!$H$3:$H$302&gt;0)*'Batches'!$D$3:$D$302+(1-('Batches'!$A$3:$A$302=$A7)*('Batches'!$G$3:$G$302=$C7)*('Batches'!$D$3:$D$302&gt;0)*('Batches'!$H$3:$H$302&gt;0))*100000,1))&gt;=100000,"",SUMPRODUCT(SMALL(('Batches'!$A$3:$A$302=$A7)*('Batches'!$G$3:$G$302=$C7)*('Batches'!$D$3:$D$302&gt;0)*('Batches'!$H$3:$H$302&gt;0)*'Batches'!$D$3:$D$302+(1-('Batches'!$A$3:$A$302=$A7)*('Batches'!$G$3:$G$302=$C7)*('Batches'!$D$3:$D$302&gt;0)*('Batches'!$H$3:$H$302&gt;0))*100000,1))))</f>
        <v/>
      </c>
      <c r="J7" s="16">
        <f>IF($A7="","",SUMIFS('Batches'!$H$3:$H$302,'Batches'!$A$3:$A$302,$A7,'Batches'!$G$3:$G$302,$C7,'Batches'!$D$3:$D$302,"&gt;0",'Batches'!$D$3:$D$302,"&lt;="&amp;('Settings'!$B$6+'Settings'!$B$7)))</f>
        <v/>
      </c>
      <c r="K7" s="19">
        <f>IF($A7="","",'Items'!$F7)</f>
        <v/>
      </c>
      <c r="L7" s="19">
        <f>IF($A7="","",$F7*$K7)</f>
        <v/>
      </c>
      <c r="M7" s="16">
        <f>IF($A7="","",IF(AND($H7="Below minimum",OR('Order list'!$B$4="",$D7='Order list'!$B$4)),IFERROR(MATCH($D7,Suppliers,0),99)*10000+ROW(),""))</f>
        <v/>
      </c>
    </row>
    <row r="8">
      <c r="A8" s="8">
        <f>IF('Items'!$A8="","",'Items'!$A8)</f>
        <v/>
      </c>
      <c r="B8" s="8">
        <f>IF($A8="","",'Items'!$B8)</f>
        <v/>
      </c>
      <c r="C8" s="8">
        <f>IF($A8="","",'Items'!$K8)</f>
        <v/>
      </c>
      <c r="D8" s="8">
        <f>IF($A8="","",'Items'!$E8)</f>
        <v/>
      </c>
      <c r="E8" s="8">
        <f>IF($A8="","",'Items'!$D8)</f>
        <v/>
      </c>
      <c r="F8" s="16">
        <f>IF($A8="","",SUMIFS('Batches'!$E$3:$E$302,'Batches'!$A$3:$A$302,$A8,'Batches'!$G$3:$G$302,$C8)+SUMIFS('Movements'!$F$3:$F$1002,'Movements'!$B$3:$B$1002,$A8,'Movements'!$E$3:$E$1002,"In",'Movements'!$H$3:$H$1002,$C8)-SUMIFS('Movements'!$F$3:$F$1002,'Movements'!$B$3:$B$1002,$A8,'Movements'!$E$3:$E$1002,"Out",'Movements'!$G$3:$G$1002,$C8)-SUMIFS('Movements'!$F$3:$F$1002,'Movements'!$B$3:$B$1002,$A8,'Movements'!$E$3:$E$1002,"Waste",'Movements'!$G$3:$G$1002,$C8)+SUMIFS('Movements'!$F$3:$F$1002,'Movements'!$B$3:$B$1002,$A8,'Movements'!$E$3:$E$1002,"Transfer",'Movements'!$H$3:$H$1002,$C8)-SUMIFS('Movements'!$F$3:$F$1002,'Movements'!$B$3:$B$1002,$A8,'Movements'!$E$3:$E$1002,"Transfer",'Movements'!$G$3:$G$1002,$C8))</f>
        <v/>
      </c>
      <c r="G8" s="15">
        <f>IF($A8="","",'Items'!$I8)</f>
        <v/>
      </c>
      <c r="H8" s="8">
        <f>IF(OR($A8="",$G8=""),"",IF($F8&lt;$G8,"Below minimum","OK"))</f>
        <v/>
      </c>
      <c r="I8" s="18">
        <f>IF($A8="","",IF(SUMPRODUCT(SMALL(('Batches'!$A$3:$A$302=$A8)*('Batches'!$G$3:$G$302=$C8)*('Batches'!$D$3:$D$302&gt;0)*('Batches'!$H$3:$H$302&gt;0)*'Batches'!$D$3:$D$302+(1-('Batches'!$A$3:$A$302=$A8)*('Batches'!$G$3:$G$302=$C8)*('Batches'!$D$3:$D$302&gt;0)*('Batches'!$H$3:$H$302&gt;0))*100000,1))&gt;=100000,"",SUMPRODUCT(SMALL(('Batches'!$A$3:$A$302=$A8)*('Batches'!$G$3:$G$302=$C8)*('Batches'!$D$3:$D$302&gt;0)*('Batches'!$H$3:$H$302&gt;0)*'Batches'!$D$3:$D$302+(1-('Batches'!$A$3:$A$302=$A8)*('Batches'!$G$3:$G$302=$C8)*('Batches'!$D$3:$D$302&gt;0)*('Batches'!$H$3:$H$302&gt;0))*100000,1))))</f>
        <v/>
      </c>
      <c r="J8" s="16">
        <f>IF($A8="","",SUMIFS('Batches'!$H$3:$H$302,'Batches'!$A$3:$A$302,$A8,'Batches'!$G$3:$G$302,$C8,'Batches'!$D$3:$D$302,"&gt;0",'Batches'!$D$3:$D$302,"&lt;="&amp;('Settings'!$B$6+'Settings'!$B$7)))</f>
        <v/>
      </c>
      <c r="K8" s="19">
        <f>IF($A8="","",'Items'!$F8)</f>
        <v/>
      </c>
      <c r="L8" s="19">
        <f>IF($A8="","",$F8*$K8)</f>
        <v/>
      </c>
      <c r="M8" s="16">
        <f>IF($A8="","",IF(AND($H8="Below minimum",OR('Order list'!$B$4="",$D8='Order list'!$B$4)),IFERROR(MATCH($D8,Suppliers,0),99)*10000+ROW(),""))</f>
        <v/>
      </c>
    </row>
    <row r="9">
      <c r="A9" s="8">
        <f>IF('Items'!$A9="","",'Items'!$A9)</f>
        <v/>
      </c>
      <c r="B9" s="8">
        <f>IF($A9="","",'Items'!$B9)</f>
        <v/>
      </c>
      <c r="C9" s="8">
        <f>IF($A9="","",'Items'!$K9)</f>
        <v/>
      </c>
      <c r="D9" s="8">
        <f>IF($A9="","",'Items'!$E9)</f>
        <v/>
      </c>
      <c r="E9" s="8">
        <f>IF($A9="","",'Items'!$D9)</f>
        <v/>
      </c>
      <c r="F9" s="16">
        <f>IF($A9="","",SUMIFS('Batches'!$E$3:$E$302,'Batches'!$A$3:$A$302,$A9,'Batches'!$G$3:$G$302,$C9)+SUMIFS('Movements'!$F$3:$F$1002,'Movements'!$B$3:$B$1002,$A9,'Movements'!$E$3:$E$1002,"In",'Movements'!$H$3:$H$1002,$C9)-SUMIFS('Movements'!$F$3:$F$1002,'Movements'!$B$3:$B$1002,$A9,'Movements'!$E$3:$E$1002,"Out",'Movements'!$G$3:$G$1002,$C9)-SUMIFS('Movements'!$F$3:$F$1002,'Movements'!$B$3:$B$1002,$A9,'Movements'!$E$3:$E$1002,"Waste",'Movements'!$G$3:$G$1002,$C9)+SUMIFS('Movements'!$F$3:$F$1002,'Movements'!$B$3:$B$1002,$A9,'Movements'!$E$3:$E$1002,"Transfer",'Movements'!$H$3:$H$1002,$C9)-SUMIFS('Movements'!$F$3:$F$1002,'Movements'!$B$3:$B$1002,$A9,'Movements'!$E$3:$E$1002,"Transfer",'Movements'!$G$3:$G$1002,$C9))</f>
        <v/>
      </c>
      <c r="G9" s="15">
        <f>IF($A9="","",'Items'!$I9)</f>
        <v/>
      </c>
      <c r="H9" s="8">
        <f>IF(OR($A9="",$G9=""),"",IF($F9&lt;$G9,"Below minimum","OK"))</f>
        <v/>
      </c>
      <c r="I9" s="18">
        <f>IF($A9="","",IF(SUMPRODUCT(SMALL(('Batches'!$A$3:$A$302=$A9)*('Batches'!$G$3:$G$302=$C9)*('Batches'!$D$3:$D$302&gt;0)*('Batches'!$H$3:$H$302&gt;0)*'Batches'!$D$3:$D$302+(1-('Batches'!$A$3:$A$302=$A9)*('Batches'!$G$3:$G$302=$C9)*('Batches'!$D$3:$D$302&gt;0)*('Batches'!$H$3:$H$302&gt;0))*100000,1))&gt;=100000,"",SUMPRODUCT(SMALL(('Batches'!$A$3:$A$302=$A9)*('Batches'!$G$3:$G$302=$C9)*('Batches'!$D$3:$D$302&gt;0)*('Batches'!$H$3:$H$302&gt;0)*'Batches'!$D$3:$D$302+(1-('Batches'!$A$3:$A$302=$A9)*('Batches'!$G$3:$G$302=$C9)*('Batches'!$D$3:$D$302&gt;0)*('Batches'!$H$3:$H$302&gt;0))*100000,1))))</f>
        <v/>
      </c>
      <c r="J9" s="16">
        <f>IF($A9="","",SUMIFS('Batches'!$H$3:$H$302,'Batches'!$A$3:$A$302,$A9,'Batches'!$G$3:$G$302,$C9,'Batches'!$D$3:$D$302,"&gt;0",'Batches'!$D$3:$D$302,"&lt;="&amp;('Settings'!$B$6+'Settings'!$B$7)))</f>
        <v/>
      </c>
      <c r="K9" s="19">
        <f>IF($A9="","",'Items'!$F9)</f>
        <v/>
      </c>
      <c r="L9" s="19">
        <f>IF($A9="","",$F9*$K9)</f>
        <v/>
      </c>
      <c r="M9" s="16">
        <f>IF($A9="","",IF(AND($H9="Below minimum",OR('Order list'!$B$4="",$D9='Order list'!$B$4)),IFERROR(MATCH($D9,Suppliers,0),99)*10000+ROW(),""))</f>
        <v/>
      </c>
    </row>
    <row r="10">
      <c r="A10" s="8">
        <f>IF('Items'!$A10="","",'Items'!$A10)</f>
        <v/>
      </c>
      <c r="B10" s="8">
        <f>IF($A10="","",'Items'!$B10)</f>
        <v/>
      </c>
      <c r="C10" s="8">
        <f>IF($A10="","",'Items'!$K10)</f>
        <v/>
      </c>
      <c r="D10" s="8">
        <f>IF($A10="","",'Items'!$E10)</f>
        <v/>
      </c>
      <c r="E10" s="8">
        <f>IF($A10="","",'Items'!$D10)</f>
        <v/>
      </c>
      <c r="F10" s="16">
        <f>IF($A10="","",SUMIFS('Batches'!$E$3:$E$302,'Batches'!$A$3:$A$302,$A10,'Batches'!$G$3:$G$302,$C10)+SUMIFS('Movements'!$F$3:$F$1002,'Movements'!$B$3:$B$1002,$A10,'Movements'!$E$3:$E$1002,"In",'Movements'!$H$3:$H$1002,$C10)-SUMIFS('Movements'!$F$3:$F$1002,'Movements'!$B$3:$B$1002,$A10,'Movements'!$E$3:$E$1002,"Out",'Movements'!$G$3:$G$1002,$C10)-SUMIFS('Movements'!$F$3:$F$1002,'Movements'!$B$3:$B$1002,$A10,'Movements'!$E$3:$E$1002,"Waste",'Movements'!$G$3:$G$1002,$C10)+SUMIFS('Movements'!$F$3:$F$1002,'Movements'!$B$3:$B$1002,$A10,'Movements'!$E$3:$E$1002,"Transfer",'Movements'!$H$3:$H$1002,$C10)-SUMIFS('Movements'!$F$3:$F$1002,'Movements'!$B$3:$B$1002,$A10,'Movements'!$E$3:$E$1002,"Transfer",'Movements'!$G$3:$G$1002,$C10))</f>
        <v/>
      </c>
      <c r="G10" s="15">
        <f>IF($A10="","",'Items'!$I10)</f>
        <v/>
      </c>
      <c r="H10" s="8">
        <f>IF(OR($A10="",$G10=""),"",IF($F10&lt;$G10,"Below minimum","OK"))</f>
        <v/>
      </c>
      <c r="I10" s="18">
        <f>IF($A10="","",IF(SUMPRODUCT(SMALL(('Batches'!$A$3:$A$302=$A10)*('Batches'!$G$3:$G$302=$C10)*('Batches'!$D$3:$D$302&gt;0)*('Batches'!$H$3:$H$302&gt;0)*'Batches'!$D$3:$D$302+(1-('Batches'!$A$3:$A$302=$A10)*('Batches'!$G$3:$G$302=$C10)*('Batches'!$D$3:$D$302&gt;0)*('Batches'!$H$3:$H$302&gt;0))*100000,1))&gt;=100000,"",SUMPRODUCT(SMALL(('Batches'!$A$3:$A$302=$A10)*('Batches'!$G$3:$G$302=$C10)*('Batches'!$D$3:$D$302&gt;0)*('Batches'!$H$3:$H$302&gt;0)*'Batches'!$D$3:$D$302+(1-('Batches'!$A$3:$A$302=$A10)*('Batches'!$G$3:$G$302=$C10)*('Batches'!$D$3:$D$302&gt;0)*('Batches'!$H$3:$H$302&gt;0))*100000,1))))</f>
        <v/>
      </c>
      <c r="J10" s="16">
        <f>IF($A10="","",SUMIFS('Batches'!$H$3:$H$302,'Batches'!$A$3:$A$302,$A10,'Batches'!$G$3:$G$302,$C10,'Batches'!$D$3:$D$302,"&gt;0",'Batches'!$D$3:$D$302,"&lt;="&amp;('Settings'!$B$6+'Settings'!$B$7)))</f>
        <v/>
      </c>
      <c r="K10" s="19">
        <f>IF($A10="","",'Items'!$F10)</f>
        <v/>
      </c>
      <c r="L10" s="19">
        <f>IF($A10="","",$F10*$K10)</f>
        <v/>
      </c>
      <c r="M10" s="16">
        <f>IF($A10="","",IF(AND($H10="Below minimum",OR('Order list'!$B$4="",$D10='Order list'!$B$4)),IFERROR(MATCH($D10,Suppliers,0),99)*10000+ROW(),""))</f>
        <v/>
      </c>
    </row>
    <row r="11">
      <c r="A11" s="8">
        <f>IF('Items'!$A11="","",'Items'!$A11)</f>
        <v/>
      </c>
      <c r="B11" s="8">
        <f>IF($A11="","",'Items'!$B11)</f>
        <v/>
      </c>
      <c r="C11" s="8">
        <f>IF($A11="","",'Items'!$K11)</f>
        <v/>
      </c>
      <c r="D11" s="8">
        <f>IF($A11="","",'Items'!$E11)</f>
        <v/>
      </c>
      <c r="E11" s="8">
        <f>IF($A11="","",'Items'!$D11)</f>
        <v/>
      </c>
      <c r="F11" s="16">
        <f>IF($A11="","",SUMIFS('Batches'!$E$3:$E$302,'Batches'!$A$3:$A$302,$A11,'Batches'!$G$3:$G$302,$C11)+SUMIFS('Movements'!$F$3:$F$1002,'Movements'!$B$3:$B$1002,$A11,'Movements'!$E$3:$E$1002,"In",'Movements'!$H$3:$H$1002,$C11)-SUMIFS('Movements'!$F$3:$F$1002,'Movements'!$B$3:$B$1002,$A11,'Movements'!$E$3:$E$1002,"Out",'Movements'!$G$3:$G$1002,$C11)-SUMIFS('Movements'!$F$3:$F$1002,'Movements'!$B$3:$B$1002,$A11,'Movements'!$E$3:$E$1002,"Waste",'Movements'!$G$3:$G$1002,$C11)+SUMIFS('Movements'!$F$3:$F$1002,'Movements'!$B$3:$B$1002,$A11,'Movements'!$E$3:$E$1002,"Transfer",'Movements'!$H$3:$H$1002,$C11)-SUMIFS('Movements'!$F$3:$F$1002,'Movements'!$B$3:$B$1002,$A11,'Movements'!$E$3:$E$1002,"Transfer",'Movements'!$G$3:$G$1002,$C11))</f>
        <v/>
      </c>
      <c r="G11" s="15">
        <f>IF($A11="","",'Items'!$I11)</f>
        <v/>
      </c>
      <c r="H11" s="8">
        <f>IF(OR($A11="",$G11=""),"",IF($F11&lt;$G11,"Below minimum","OK"))</f>
        <v/>
      </c>
      <c r="I11" s="18">
        <f>IF($A11="","",IF(SUMPRODUCT(SMALL(('Batches'!$A$3:$A$302=$A11)*('Batches'!$G$3:$G$302=$C11)*('Batches'!$D$3:$D$302&gt;0)*('Batches'!$H$3:$H$302&gt;0)*'Batches'!$D$3:$D$302+(1-('Batches'!$A$3:$A$302=$A11)*('Batches'!$G$3:$G$302=$C11)*('Batches'!$D$3:$D$302&gt;0)*('Batches'!$H$3:$H$302&gt;0))*100000,1))&gt;=100000,"",SUMPRODUCT(SMALL(('Batches'!$A$3:$A$302=$A11)*('Batches'!$G$3:$G$302=$C11)*('Batches'!$D$3:$D$302&gt;0)*('Batches'!$H$3:$H$302&gt;0)*'Batches'!$D$3:$D$302+(1-('Batches'!$A$3:$A$302=$A11)*('Batches'!$G$3:$G$302=$C11)*('Batches'!$D$3:$D$302&gt;0)*('Batches'!$H$3:$H$302&gt;0))*100000,1))))</f>
        <v/>
      </c>
      <c r="J11" s="16">
        <f>IF($A11="","",SUMIFS('Batches'!$H$3:$H$302,'Batches'!$A$3:$A$302,$A11,'Batches'!$G$3:$G$302,$C11,'Batches'!$D$3:$D$302,"&gt;0",'Batches'!$D$3:$D$302,"&lt;="&amp;('Settings'!$B$6+'Settings'!$B$7)))</f>
        <v/>
      </c>
      <c r="K11" s="19">
        <f>IF($A11="","",'Items'!$F11)</f>
        <v/>
      </c>
      <c r="L11" s="19">
        <f>IF($A11="","",$F11*$K11)</f>
        <v/>
      </c>
      <c r="M11" s="16">
        <f>IF($A11="","",IF(AND($H11="Below minimum",OR('Order list'!$B$4="",$D11='Order list'!$B$4)),IFERROR(MATCH($D11,Suppliers,0),99)*10000+ROW(),""))</f>
        <v/>
      </c>
    </row>
    <row r="12">
      <c r="A12" s="8">
        <f>IF('Items'!$A12="","",'Items'!$A12)</f>
        <v/>
      </c>
      <c r="B12" s="8">
        <f>IF($A12="","",'Items'!$B12)</f>
        <v/>
      </c>
      <c r="C12" s="8">
        <f>IF($A12="","",'Items'!$K12)</f>
        <v/>
      </c>
      <c r="D12" s="8">
        <f>IF($A12="","",'Items'!$E12)</f>
        <v/>
      </c>
      <c r="E12" s="8">
        <f>IF($A12="","",'Items'!$D12)</f>
        <v/>
      </c>
      <c r="F12" s="16">
        <f>IF($A12="","",SUMIFS('Batches'!$E$3:$E$302,'Batches'!$A$3:$A$302,$A12,'Batches'!$G$3:$G$302,$C12)+SUMIFS('Movements'!$F$3:$F$1002,'Movements'!$B$3:$B$1002,$A12,'Movements'!$E$3:$E$1002,"In",'Movements'!$H$3:$H$1002,$C12)-SUMIFS('Movements'!$F$3:$F$1002,'Movements'!$B$3:$B$1002,$A12,'Movements'!$E$3:$E$1002,"Out",'Movements'!$G$3:$G$1002,$C12)-SUMIFS('Movements'!$F$3:$F$1002,'Movements'!$B$3:$B$1002,$A12,'Movements'!$E$3:$E$1002,"Waste",'Movements'!$G$3:$G$1002,$C12)+SUMIFS('Movements'!$F$3:$F$1002,'Movements'!$B$3:$B$1002,$A12,'Movements'!$E$3:$E$1002,"Transfer",'Movements'!$H$3:$H$1002,$C12)-SUMIFS('Movements'!$F$3:$F$1002,'Movements'!$B$3:$B$1002,$A12,'Movements'!$E$3:$E$1002,"Transfer",'Movements'!$G$3:$G$1002,$C12))</f>
        <v/>
      </c>
      <c r="G12" s="15">
        <f>IF($A12="","",'Items'!$I12)</f>
        <v/>
      </c>
      <c r="H12" s="8">
        <f>IF(OR($A12="",$G12=""),"",IF($F12&lt;$G12,"Below minimum","OK"))</f>
        <v/>
      </c>
      <c r="I12" s="18">
        <f>IF($A12="","",IF(SUMPRODUCT(SMALL(('Batches'!$A$3:$A$302=$A12)*('Batches'!$G$3:$G$302=$C12)*('Batches'!$D$3:$D$302&gt;0)*('Batches'!$H$3:$H$302&gt;0)*'Batches'!$D$3:$D$302+(1-('Batches'!$A$3:$A$302=$A12)*('Batches'!$G$3:$G$302=$C12)*('Batches'!$D$3:$D$302&gt;0)*('Batches'!$H$3:$H$302&gt;0))*100000,1))&gt;=100000,"",SUMPRODUCT(SMALL(('Batches'!$A$3:$A$302=$A12)*('Batches'!$G$3:$G$302=$C12)*('Batches'!$D$3:$D$302&gt;0)*('Batches'!$H$3:$H$302&gt;0)*'Batches'!$D$3:$D$302+(1-('Batches'!$A$3:$A$302=$A12)*('Batches'!$G$3:$G$302=$C12)*('Batches'!$D$3:$D$302&gt;0)*('Batches'!$H$3:$H$302&gt;0))*100000,1))))</f>
        <v/>
      </c>
      <c r="J12" s="16">
        <f>IF($A12="","",SUMIFS('Batches'!$H$3:$H$302,'Batches'!$A$3:$A$302,$A12,'Batches'!$G$3:$G$302,$C12,'Batches'!$D$3:$D$302,"&gt;0",'Batches'!$D$3:$D$302,"&lt;="&amp;('Settings'!$B$6+'Settings'!$B$7)))</f>
        <v/>
      </c>
      <c r="K12" s="19">
        <f>IF($A12="","",'Items'!$F12)</f>
        <v/>
      </c>
      <c r="L12" s="19">
        <f>IF($A12="","",$F12*$K12)</f>
        <v/>
      </c>
      <c r="M12" s="16">
        <f>IF($A12="","",IF(AND($H12="Below minimum",OR('Order list'!$B$4="",$D12='Order list'!$B$4)),IFERROR(MATCH($D12,Suppliers,0),99)*10000+ROW(),""))</f>
        <v/>
      </c>
    </row>
    <row r="13">
      <c r="A13" s="8">
        <f>IF('Items'!$A13="","",'Items'!$A13)</f>
        <v/>
      </c>
      <c r="B13" s="8">
        <f>IF($A13="","",'Items'!$B13)</f>
        <v/>
      </c>
      <c r="C13" s="8">
        <f>IF($A13="","",'Items'!$K13)</f>
        <v/>
      </c>
      <c r="D13" s="8">
        <f>IF($A13="","",'Items'!$E13)</f>
        <v/>
      </c>
      <c r="E13" s="8">
        <f>IF($A13="","",'Items'!$D13)</f>
        <v/>
      </c>
      <c r="F13" s="16">
        <f>IF($A13="","",SUMIFS('Batches'!$E$3:$E$302,'Batches'!$A$3:$A$302,$A13,'Batches'!$G$3:$G$302,$C13)+SUMIFS('Movements'!$F$3:$F$1002,'Movements'!$B$3:$B$1002,$A13,'Movements'!$E$3:$E$1002,"In",'Movements'!$H$3:$H$1002,$C13)-SUMIFS('Movements'!$F$3:$F$1002,'Movements'!$B$3:$B$1002,$A13,'Movements'!$E$3:$E$1002,"Out",'Movements'!$G$3:$G$1002,$C13)-SUMIFS('Movements'!$F$3:$F$1002,'Movements'!$B$3:$B$1002,$A13,'Movements'!$E$3:$E$1002,"Waste",'Movements'!$G$3:$G$1002,$C13)+SUMIFS('Movements'!$F$3:$F$1002,'Movements'!$B$3:$B$1002,$A13,'Movements'!$E$3:$E$1002,"Transfer",'Movements'!$H$3:$H$1002,$C13)-SUMIFS('Movements'!$F$3:$F$1002,'Movements'!$B$3:$B$1002,$A13,'Movements'!$E$3:$E$1002,"Transfer",'Movements'!$G$3:$G$1002,$C13))</f>
        <v/>
      </c>
      <c r="G13" s="15">
        <f>IF($A13="","",'Items'!$I13)</f>
        <v/>
      </c>
      <c r="H13" s="8">
        <f>IF(OR($A13="",$G13=""),"",IF($F13&lt;$G13,"Below minimum","OK"))</f>
        <v/>
      </c>
      <c r="I13" s="18">
        <f>IF($A13="","",IF(SUMPRODUCT(SMALL(('Batches'!$A$3:$A$302=$A13)*('Batches'!$G$3:$G$302=$C13)*('Batches'!$D$3:$D$302&gt;0)*('Batches'!$H$3:$H$302&gt;0)*'Batches'!$D$3:$D$302+(1-('Batches'!$A$3:$A$302=$A13)*('Batches'!$G$3:$G$302=$C13)*('Batches'!$D$3:$D$302&gt;0)*('Batches'!$H$3:$H$302&gt;0))*100000,1))&gt;=100000,"",SUMPRODUCT(SMALL(('Batches'!$A$3:$A$302=$A13)*('Batches'!$G$3:$G$302=$C13)*('Batches'!$D$3:$D$302&gt;0)*('Batches'!$H$3:$H$302&gt;0)*'Batches'!$D$3:$D$302+(1-('Batches'!$A$3:$A$302=$A13)*('Batches'!$G$3:$G$302=$C13)*('Batches'!$D$3:$D$302&gt;0)*('Batches'!$H$3:$H$302&gt;0))*100000,1))))</f>
        <v/>
      </c>
      <c r="J13" s="16">
        <f>IF($A13="","",SUMIFS('Batches'!$H$3:$H$302,'Batches'!$A$3:$A$302,$A13,'Batches'!$G$3:$G$302,$C13,'Batches'!$D$3:$D$302,"&gt;0",'Batches'!$D$3:$D$302,"&lt;="&amp;('Settings'!$B$6+'Settings'!$B$7)))</f>
        <v/>
      </c>
      <c r="K13" s="19">
        <f>IF($A13="","",'Items'!$F13)</f>
        <v/>
      </c>
      <c r="L13" s="19">
        <f>IF($A13="","",$F13*$K13)</f>
        <v/>
      </c>
      <c r="M13" s="16">
        <f>IF($A13="","",IF(AND($H13="Below minimum",OR('Order list'!$B$4="",$D13='Order list'!$B$4)),IFERROR(MATCH($D13,Suppliers,0),99)*10000+ROW(),""))</f>
        <v/>
      </c>
    </row>
    <row r="14">
      <c r="A14" s="8">
        <f>IF('Items'!$A14="","",'Items'!$A14)</f>
        <v/>
      </c>
      <c r="B14" s="8">
        <f>IF($A14="","",'Items'!$B14)</f>
        <v/>
      </c>
      <c r="C14" s="8">
        <f>IF($A14="","",'Items'!$K14)</f>
        <v/>
      </c>
      <c r="D14" s="8">
        <f>IF($A14="","",'Items'!$E14)</f>
        <v/>
      </c>
      <c r="E14" s="8">
        <f>IF($A14="","",'Items'!$D14)</f>
        <v/>
      </c>
      <c r="F14" s="16">
        <f>IF($A14="","",SUMIFS('Batches'!$E$3:$E$302,'Batches'!$A$3:$A$302,$A14,'Batches'!$G$3:$G$302,$C14)+SUMIFS('Movements'!$F$3:$F$1002,'Movements'!$B$3:$B$1002,$A14,'Movements'!$E$3:$E$1002,"In",'Movements'!$H$3:$H$1002,$C14)-SUMIFS('Movements'!$F$3:$F$1002,'Movements'!$B$3:$B$1002,$A14,'Movements'!$E$3:$E$1002,"Out",'Movements'!$G$3:$G$1002,$C14)-SUMIFS('Movements'!$F$3:$F$1002,'Movements'!$B$3:$B$1002,$A14,'Movements'!$E$3:$E$1002,"Waste",'Movements'!$G$3:$G$1002,$C14)+SUMIFS('Movements'!$F$3:$F$1002,'Movements'!$B$3:$B$1002,$A14,'Movements'!$E$3:$E$1002,"Transfer",'Movements'!$H$3:$H$1002,$C14)-SUMIFS('Movements'!$F$3:$F$1002,'Movements'!$B$3:$B$1002,$A14,'Movements'!$E$3:$E$1002,"Transfer",'Movements'!$G$3:$G$1002,$C14))</f>
        <v/>
      </c>
      <c r="G14" s="15">
        <f>IF($A14="","",'Items'!$I14)</f>
        <v/>
      </c>
      <c r="H14" s="8">
        <f>IF(OR($A14="",$G14=""),"",IF($F14&lt;$G14,"Below minimum","OK"))</f>
        <v/>
      </c>
      <c r="I14" s="18">
        <f>IF($A14="","",IF(SUMPRODUCT(SMALL(('Batches'!$A$3:$A$302=$A14)*('Batches'!$G$3:$G$302=$C14)*('Batches'!$D$3:$D$302&gt;0)*('Batches'!$H$3:$H$302&gt;0)*'Batches'!$D$3:$D$302+(1-('Batches'!$A$3:$A$302=$A14)*('Batches'!$G$3:$G$302=$C14)*('Batches'!$D$3:$D$302&gt;0)*('Batches'!$H$3:$H$302&gt;0))*100000,1))&gt;=100000,"",SUMPRODUCT(SMALL(('Batches'!$A$3:$A$302=$A14)*('Batches'!$G$3:$G$302=$C14)*('Batches'!$D$3:$D$302&gt;0)*('Batches'!$H$3:$H$302&gt;0)*'Batches'!$D$3:$D$302+(1-('Batches'!$A$3:$A$302=$A14)*('Batches'!$G$3:$G$302=$C14)*('Batches'!$D$3:$D$302&gt;0)*('Batches'!$H$3:$H$302&gt;0))*100000,1))))</f>
        <v/>
      </c>
      <c r="J14" s="16">
        <f>IF($A14="","",SUMIFS('Batches'!$H$3:$H$302,'Batches'!$A$3:$A$302,$A14,'Batches'!$G$3:$G$302,$C14,'Batches'!$D$3:$D$302,"&gt;0",'Batches'!$D$3:$D$302,"&lt;="&amp;('Settings'!$B$6+'Settings'!$B$7)))</f>
        <v/>
      </c>
      <c r="K14" s="19">
        <f>IF($A14="","",'Items'!$F14)</f>
        <v/>
      </c>
      <c r="L14" s="19">
        <f>IF($A14="","",$F14*$K14)</f>
        <v/>
      </c>
      <c r="M14" s="16">
        <f>IF($A14="","",IF(AND($H14="Below minimum",OR('Order list'!$B$4="",$D14='Order list'!$B$4)),IFERROR(MATCH($D14,Suppliers,0),99)*10000+ROW(),""))</f>
        <v/>
      </c>
    </row>
    <row r="15">
      <c r="A15" s="8">
        <f>IF('Items'!$A15="","",'Items'!$A15)</f>
        <v/>
      </c>
      <c r="B15" s="8">
        <f>IF($A15="","",'Items'!$B15)</f>
        <v/>
      </c>
      <c r="C15" s="8">
        <f>IF($A15="","",'Items'!$K15)</f>
        <v/>
      </c>
      <c r="D15" s="8">
        <f>IF($A15="","",'Items'!$E15)</f>
        <v/>
      </c>
      <c r="E15" s="8">
        <f>IF($A15="","",'Items'!$D15)</f>
        <v/>
      </c>
      <c r="F15" s="16">
        <f>IF($A15="","",SUMIFS('Batches'!$E$3:$E$302,'Batches'!$A$3:$A$302,$A15,'Batches'!$G$3:$G$302,$C15)+SUMIFS('Movements'!$F$3:$F$1002,'Movements'!$B$3:$B$1002,$A15,'Movements'!$E$3:$E$1002,"In",'Movements'!$H$3:$H$1002,$C15)-SUMIFS('Movements'!$F$3:$F$1002,'Movements'!$B$3:$B$1002,$A15,'Movements'!$E$3:$E$1002,"Out",'Movements'!$G$3:$G$1002,$C15)-SUMIFS('Movements'!$F$3:$F$1002,'Movements'!$B$3:$B$1002,$A15,'Movements'!$E$3:$E$1002,"Waste",'Movements'!$G$3:$G$1002,$C15)+SUMIFS('Movements'!$F$3:$F$1002,'Movements'!$B$3:$B$1002,$A15,'Movements'!$E$3:$E$1002,"Transfer",'Movements'!$H$3:$H$1002,$C15)-SUMIFS('Movements'!$F$3:$F$1002,'Movements'!$B$3:$B$1002,$A15,'Movements'!$E$3:$E$1002,"Transfer",'Movements'!$G$3:$G$1002,$C15))</f>
        <v/>
      </c>
      <c r="G15" s="15">
        <f>IF($A15="","",'Items'!$I15)</f>
        <v/>
      </c>
      <c r="H15" s="8">
        <f>IF(OR($A15="",$G15=""),"",IF($F15&lt;$G15,"Below minimum","OK"))</f>
        <v/>
      </c>
      <c r="I15" s="18">
        <f>IF($A15="","",IF(SUMPRODUCT(SMALL(('Batches'!$A$3:$A$302=$A15)*('Batches'!$G$3:$G$302=$C15)*('Batches'!$D$3:$D$302&gt;0)*('Batches'!$H$3:$H$302&gt;0)*'Batches'!$D$3:$D$302+(1-('Batches'!$A$3:$A$302=$A15)*('Batches'!$G$3:$G$302=$C15)*('Batches'!$D$3:$D$302&gt;0)*('Batches'!$H$3:$H$302&gt;0))*100000,1))&gt;=100000,"",SUMPRODUCT(SMALL(('Batches'!$A$3:$A$302=$A15)*('Batches'!$G$3:$G$302=$C15)*('Batches'!$D$3:$D$302&gt;0)*('Batches'!$H$3:$H$302&gt;0)*'Batches'!$D$3:$D$302+(1-('Batches'!$A$3:$A$302=$A15)*('Batches'!$G$3:$G$302=$C15)*('Batches'!$D$3:$D$302&gt;0)*('Batches'!$H$3:$H$302&gt;0))*100000,1))))</f>
        <v/>
      </c>
      <c r="J15" s="16">
        <f>IF($A15="","",SUMIFS('Batches'!$H$3:$H$302,'Batches'!$A$3:$A$302,$A15,'Batches'!$G$3:$G$302,$C15,'Batches'!$D$3:$D$302,"&gt;0",'Batches'!$D$3:$D$302,"&lt;="&amp;('Settings'!$B$6+'Settings'!$B$7)))</f>
        <v/>
      </c>
      <c r="K15" s="19">
        <f>IF($A15="","",'Items'!$F15)</f>
        <v/>
      </c>
      <c r="L15" s="19">
        <f>IF($A15="","",$F15*$K15)</f>
        <v/>
      </c>
      <c r="M15" s="16">
        <f>IF($A15="","",IF(AND($H15="Below minimum",OR('Order list'!$B$4="",$D15='Order list'!$B$4)),IFERROR(MATCH($D15,Suppliers,0),99)*10000+ROW(),""))</f>
        <v/>
      </c>
    </row>
    <row r="16">
      <c r="A16" s="8">
        <f>IF('Items'!$A16="","",'Items'!$A16)</f>
        <v/>
      </c>
      <c r="B16" s="8">
        <f>IF($A16="","",'Items'!$B16)</f>
        <v/>
      </c>
      <c r="C16" s="8">
        <f>IF($A16="","",'Items'!$K16)</f>
        <v/>
      </c>
      <c r="D16" s="8">
        <f>IF($A16="","",'Items'!$E16)</f>
        <v/>
      </c>
      <c r="E16" s="8">
        <f>IF($A16="","",'Items'!$D16)</f>
        <v/>
      </c>
      <c r="F16" s="16">
        <f>IF($A16="","",SUMIFS('Batches'!$E$3:$E$302,'Batches'!$A$3:$A$302,$A16,'Batches'!$G$3:$G$302,$C16)+SUMIFS('Movements'!$F$3:$F$1002,'Movements'!$B$3:$B$1002,$A16,'Movements'!$E$3:$E$1002,"In",'Movements'!$H$3:$H$1002,$C16)-SUMIFS('Movements'!$F$3:$F$1002,'Movements'!$B$3:$B$1002,$A16,'Movements'!$E$3:$E$1002,"Out",'Movements'!$G$3:$G$1002,$C16)-SUMIFS('Movements'!$F$3:$F$1002,'Movements'!$B$3:$B$1002,$A16,'Movements'!$E$3:$E$1002,"Waste",'Movements'!$G$3:$G$1002,$C16)+SUMIFS('Movements'!$F$3:$F$1002,'Movements'!$B$3:$B$1002,$A16,'Movements'!$E$3:$E$1002,"Transfer",'Movements'!$H$3:$H$1002,$C16)-SUMIFS('Movements'!$F$3:$F$1002,'Movements'!$B$3:$B$1002,$A16,'Movements'!$E$3:$E$1002,"Transfer",'Movements'!$G$3:$G$1002,$C16))</f>
        <v/>
      </c>
      <c r="G16" s="15">
        <f>IF($A16="","",'Items'!$I16)</f>
        <v/>
      </c>
      <c r="H16" s="8">
        <f>IF(OR($A16="",$G16=""),"",IF($F16&lt;$G16,"Below minimum","OK"))</f>
        <v/>
      </c>
      <c r="I16" s="18">
        <f>IF($A16="","",IF(SUMPRODUCT(SMALL(('Batches'!$A$3:$A$302=$A16)*('Batches'!$G$3:$G$302=$C16)*('Batches'!$D$3:$D$302&gt;0)*('Batches'!$H$3:$H$302&gt;0)*'Batches'!$D$3:$D$302+(1-('Batches'!$A$3:$A$302=$A16)*('Batches'!$G$3:$G$302=$C16)*('Batches'!$D$3:$D$302&gt;0)*('Batches'!$H$3:$H$302&gt;0))*100000,1))&gt;=100000,"",SUMPRODUCT(SMALL(('Batches'!$A$3:$A$302=$A16)*('Batches'!$G$3:$G$302=$C16)*('Batches'!$D$3:$D$302&gt;0)*('Batches'!$H$3:$H$302&gt;0)*'Batches'!$D$3:$D$302+(1-('Batches'!$A$3:$A$302=$A16)*('Batches'!$G$3:$G$302=$C16)*('Batches'!$D$3:$D$302&gt;0)*('Batches'!$H$3:$H$302&gt;0))*100000,1))))</f>
        <v/>
      </c>
      <c r="J16" s="16">
        <f>IF($A16="","",SUMIFS('Batches'!$H$3:$H$302,'Batches'!$A$3:$A$302,$A16,'Batches'!$G$3:$G$302,$C16,'Batches'!$D$3:$D$302,"&gt;0",'Batches'!$D$3:$D$302,"&lt;="&amp;('Settings'!$B$6+'Settings'!$B$7)))</f>
        <v/>
      </c>
      <c r="K16" s="19">
        <f>IF($A16="","",'Items'!$F16)</f>
        <v/>
      </c>
      <c r="L16" s="19">
        <f>IF($A16="","",$F16*$K16)</f>
        <v/>
      </c>
      <c r="M16" s="16">
        <f>IF($A16="","",IF(AND($H16="Below minimum",OR('Order list'!$B$4="",$D16='Order list'!$B$4)),IFERROR(MATCH($D16,Suppliers,0),99)*10000+ROW(),""))</f>
        <v/>
      </c>
    </row>
    <row r="17">
      <c r="A17" s="8">
        <f>IF('Items'!$A17="","",'Items'!$A17)</f>
        <v/>
      </c>
      <c r="B17" s="8">
        <f>IF($A17="","",'Items'!$B17)</f>
        <v/>
      </c>
      <c r="C17" s="8">
        <f>IF($A17="","",'Items'!$K17)</f>
        <v/>
      </c>
      <c r="D17" s="8">
        <f>IF($A17="","",'Items'!$E17)</f>
        <v/>
      </c>
      <c r="E17" s="8">
        <f>IF($A17="","",'Items'!$D17)</f>
        <v/>
      </c>
      <c r="F17" s="16">
        <f>IF($A17="","",SUMIFS('Batches'!$E$3:$E$302,'Batches'!$A$3:$A$302,$A17,'Batches'!$G$3:$G$302,$C17)+SUMIFS('Movements'!$F$3:$F$1002,'Movements'!$B$3:$B$1002,$A17,'Movements'!$E$3:$E$1002,"In",'Movements'!$H$3:$H$1002,$C17)-SUMIFS('Movements'!$F$3:$F$1002,'Movements'!$B$3:$B$1002,$A17,'Movements'!$E$3:$E$1002,"Out",'Movements'!$G$3:$G$1002,$C17)-SUMIFS('Movements'!$F$3:$F$1002,'Movements'!$B$3:$B$1002,$A17,'Movements'!$E$3:$E$1002,"Waste",'Movements'!$G$3:$G$1002,$C17)+SUMIFS('Movements'!$F$3:$F$1002,'Movements'!$B$3:$B$1002,$A17,'Movements'!$E$3:$E$1002,"Transfer",'Movements'!$H$3:$H$1002,$C17)-SUMIFS('Movements'!$F$3:$F$1002,'Movements'!$B$3:$B$1002,$A17,'Movements'!$E$3:$E$1002,"Transfer",'Movements'!$G$3:$G$1002,$C17))</f>
        <v/>
      </c>
      <c r="G17" s="15">
        <f>IF($A17="","",'Items'!$I17)</f>
        <v/>
      </c>
      <c r="H17" s="8">
        <f>IF(OR($A17="",$G17=""),"",IF($F17&lt;$G17,"Below minimum","OK"))</f>
        <v/>
      </c>
      <c r="I17" s="18">
        <f>IF($A17="","",IF(SUMPRODUCT(SMALL(('Batches'!$A$3:$A$302=$A17)*('Batches'!$G$3:$G$302=$C17)*('Batches'!$D$3:$D$302&gt;0)*('Batches'!$H$3:$H$302&gt;0)*'Batches'!$D$3:$D$302+(1-('Batches'!$A$3:$A$302=$A17)*('Batches'!$G$3:$G$302=$C17)*('Batches'!$D$3:$D$302&gt;0)*('Batches'!$H$3:$H$302&gt;0))*100000,1))&gt;=100000,"",SUMPRODUCT(SMALL(('Batches'!$A$3:$A$302=$A17)*('Batches'!$G$3:$G$302=$C17)*('Batches'!$D$3:$D$302&gt;0)*('Batches'!$H$3:$H$302&gt;0)*'Batches'!$D$3:$D$302+(1-('Batches'!$A$3:$A$302=$A17)*('Batches'!$G$3:$G$302=$C17)*('Batches'!$D$3:$D$302&gt;0)*('Batches'!$H$3:$H$302&gt;0))*100000,1))))</f>
        <v/>
      </c>
      <c r="J17" s="16">
        <f>IF($A17="","",SUMIFS('Batches'!$H$3:$H$302,'Batches'!$A$3:$A$302,$A17,'Batches'!$G$3:$G$302,$C17,'Batches'!$D$3:$D$302,"&gt;0",'Batches'!$D$3:$D$302,"&lt;="&amp;('Settings'!$B$6+'Settings'!$B$7)))</f>
        <v/>
      </c>
      <c r="K17" s="19">
        <f>IF($A17="","",'Items'!$F17)</f>
        <v/>
      </c>
      <c r="L17" s="19">
        <f>IF($A17="","",$F17*$K17)</f>
        <v/>
      </c>
      <c r="M17" s="16">
        <f>IF($A17="","",IF(AND($H17="Below minimum",OR('Order list'!$B$4="",$D17='Order list'!$B$4)),IFERROR(MATCH($D17,Suppliers,0),99)*10000+ROW(),""))</f>
        <v/>
      </c>
    </row>
    <row r="18">
      <c r="A18" s="8">
        <f>IF('Items'!$A18="","",'Items'!$A18)</f>
        <v/>
      </c>
      <c r="B18" s="8">
        <f>IF($A18="","",'Items'!$B18)</f>
        <v/>
      </c>
      <c r="C18" s="8">
        <f>IF($A18="","",'Items'!$K18)</f>
        <v/>
      </c>
      <c r="D18" s="8">
        <f>IF($A18="","",'Items'!$E18)</f>
        <v/>
      </c>
      <c r="E18" s="8">
        <f>IF($A18="","",'Items'!$D18)</f>
        <v/>
      </c>
      <c r="F18" s="16">
        <f>IF($A18="","",SUMIFS('Batches'!$E$3:$E$302,'Batches'!$A$3:$A$302,$A18,'Batches'!$G$3:$G$302,$C18)+SUMIFS('Movements'!$F$3:$F$1002,'Movements'!$B$3:$B$1002,$A18,'Movements'!$E$3:$E$1002,"In",'Movements'!$H$3:$H$1002,$C18)-SUMIFS('Movements'!$F$3:$F$1002,'Movements'!$B$3:$B$1002,$A18,'Movements'!$E$3:$E$1002,"Out",'Movements'!$G$3:$G$1002,$C18)-SUMIFS('Movements'!$F$3:$F$1002,'Movements'!$B$3:$B$1002,$A18,'Movements'!$E$3:$E$1002,"Waste",'Movements'!$G$3:$G$1002,$C18)+SUMIFS('Movements'!$F$3:$F$1002,'Movements'!$B$3:$B$1002,$A18,'Movements'!$E$3:$E$1002,"Transfer",'Movements'!$H$3:$H$1002,$C18)-SUMIFS('Movements'!$F$3:$F$1002,'Movements'!$B$3:$B$1002,$A18,'Movements'!$E$3:$E$1002,"Transfer",'Movements'!$G$3:$G$1002,$C18))</f>
        <v/>
      </c>
      <c r="G18" s="15">
        <f>IF($A18="","",'Items'!$I18)</f>
        <v/>
      </c>
      <c r="H18" s="8">
        <f>IF(OR($A18="",$G18=""),"",IF($F18&lt;$G18,"Below minimum","OK"))</f>
        <v/>
      </c>
      <c r="I18" s="18">
        <f>IF($A18="","",IF(SUMPRODUCT(SMALL(('Batches'!$A$3:$A$302=$A18)*('Batches'!$G$3:$G$302=$C18)*('Batches'!$D$3:$D$302&gt;0)*('Batches'!$H$3:$H$302&gt;0)*'Batches'!$D$3:$D$302+(1-('Batches'!$A$3:$A$302=$A18)*('Batches'!$G$3:$G$302=$C18)*('Batches'!$D$3:$D$302&gt;0)*('Batches'!$H$3:$H$302&gt;0))*100000,1))&gt;=100000,"",SUMPRODUCT(SMALL(('Batches'!$A$3:$A$302=$A18)*('Batches'!$G$3:$G$302=$C18)*('Batches'!$D$3:$D$302&gt;0)*('Batches'!$H$3:$H$302&gt;0)*'Batches'!$D$3:$D$302+(1-('Batches'!$A$3:$A$302=$A18)*('Batches'!$G$3:$G$302=$C18)*('Batches'!$D$3:$D$302&gt;0)*('Batches'!$H$3:$H$302&gt;0))*100000,1))))</f>
        <v/>
      </c>
      <c r="J18" s="16">
        <f>IF($A18="","",SUMIFS('Batches'!$H$3:$H$302,'Batches'!$A$3:$A$302,$A18,'Batches'!$G$3:$G$302,$C18,'Batches'!$D$3:$D$302,"&gt;0",'Batches'!$D$3:$D$302,"&lt;="&amp;('Settings'!$B$6+'Settings'!$B$7)))</f>
        <v/>
      </c>
      <c r="K18" s="19">
        <f>IF($A18="","",'Items'!$F18)</f>
        <v/>
      </c>
      <c r="L18" s="19">
        <f>IF($A18="","",$F18*$K18)</f>
        <v/>
      </c>
      <c r="M18" s="16">
        <f>IF($A18="","",IF(AND($H18="Below minimum",OR('Order list'!$B$4="",$D18='Order list'!$B$4)),IFERROR(MATCH($D18,Suppliers,0),99)*10000+ROW(),""))</f>
        <v/>
      </c>
    </row>
    <row r="19">
      <c r="A19" s="8">
        <f>IF('Items'!$A19="","",'Items'!$A19)</f>
        <v/>
      </c>
      <c r="B19" s="8">
        <f>IF($A19="","",'Items'!$B19)</f>
        <v/>
      </c>
      <c r="C19" s="8">
        <f>IF($A19="","",'Items'!$K19)</f>
        <v/>
      </c>
      <c r="D19" s="8">
        <f>IF($A19="","",'Items'!$E19)</f>
        <v/>
      </c>
      <c r="E19" s="8">
        <f>IF($A19="","",'Items'!$D19)</f>
        <v/>
      </c>
      <c r="F19" s="16">
        <f>IF($A19="","",SUMIFS('Batches'!$E$3:$E$302,'Batches'!$A$3:$A$302,$A19,'Batches'!$G$3:$G$302,$C19)+SUMIFS('Movements'!$F$3:$F$1002,'Movements'!$B$3:$B$1002,$A19,'Movements'!$E$3:$E$1002,"In",'Movements'!$H$3:$H$1002,$C19)-SUMIFS('Movements'!$F$3:$F$1002,'Movements'!$B$3:$B$1002,$A19,'Movements'!$E$3:$E$1002,"Out",'Movements'!$G$3:$G$1002,$C19)-SUMIFS('Movements'!$F$3:$F$1002,'Movements'!$B$3:$B$1002,$A19,'Movements'!$E$3:$E$1002,"Waste",'Movements'!$G$3:$G$1002,$C19)+SUMIFS('Movements'!$F$3:$F$1002,'Movements'!$B$3:$B$1002,$A19,'Movements'!$E$3:$E$1002,"Transfer",'Movements'!$H$3:$H$1002,$C19)-SUMIFS('Movements'!$F$3:$F$1002,'Movements'!$B$3:$B$1002,$A19,'Movements'!$E$3:$E$1002,"Transfer",'Movements'!$G$3:$G$1002,$C19))</f>
        <v/>
      </c>
      <c r="G19" s="15">
        <f>IF($A19="","",'Items'!$I19)</f>
        <v/>
      </c>
      <c r="H19" s="8">
        <f>IF(OR($A19="",$G19=""),"",IF($F19&lt;$G19,"Below minimum","OK"))</f>
        <v/>
      </c>
      <c r="I19" s="18">
        <f>IF($A19="","",IF(SUMPRODUCT(SMALL(('Batches'!$A$3:$A$302=$A19)*('Batches'!$G$3:$G$302=$C19)*('Batches'!$D$3:$D$302&gt;0)*('Batches'!$H$3:$H$302&gt;0)*'Batches'!$D$3:$D$302+(1-('Batches'!$A$3:$A$302=$A19)*('Batches'!$G$3:$G$302=$C19)*('Batches'!$D$3:$D$302&gt;0)*('Batches'!$H$3:$H$302&gt;0))*100000,1))&gt;=100000,"",SUMPRODUCT(SMALL(('Batches'!$A$3:$A$302=$A19)*('Batches'!$G$3:$G$302=$C19)*('Batches'!$D$3:$D$302&gt;0)*('Batches'!$H$3:$H$302&gt;0)*'Batches'!$D$3:$D$302+(1-('Batches'!$A$3:$A$302=$A19)*('Batches'!$G$3:$G$302=$C19)*('Batches'!$D$3:$D$302&gt;0)*('Batches'!$H$3:$H$302&gt;0))*100000,1))))</f>
        <v/>
      </c>
      <c r="J19" s="16">
        <f>IF($A19="","",SUMIFS('Batches'!$H$3:$H$302,'Batches'!$A$3:$A$302,$A19,'Batches'!$G$3:$G$302,$C19,'Batches'!$D$3:$D$302,"&gt;0",'Batches'!$D$3:$D$302,"&lt;="&amp;('Settings'!$B$6+'Settings'!$B$7)))</f>
        <v/>
      </c>
      <c r="K19" s="19">
        <f>IF($A19="","",'Items'!$F19)</f>
        <v/>
      </c>
      <c r="L19" s="19">
        <f>IF($A19="","",$F19*$K19)</f>
        <v/>
      </c>
      <c r="M19" s="16">
        <f>IF($A19="","",IF(AND($H19="Below minimum",OR('Order list'!$B$4="",$D19='Order list'!$B$4)),IFERROR(MATCH($D19,Suppliers,0),99)*10000+ROW(),""))</f>
        <v/>
      </c>
    </row>
    <row r="20">
      <c r="A20" s="8">
        <f>IF('Items'!$A20="","",'Items'!$A20)</f>
        <v/>
      </c>
      <c r="B20" s="8">
        <f>IF($A20="","",'Items'!$B20)</f>
        <v/>
      </c>
      <c r="C20" s="8">
        <f>IF($A20="","",'Items'!$K20)</f>
        <v/>
      </c>
      <c r="D20" s="8">
        <f>IF($A20="","",'Items'!$E20)</f>
        <v/>
      </c>
      <c r="E20" s="8">
        <f>IF($A20="","",'Items'!$D20)</f>
        <v/>
      </c>
      <c r="F20" s="16">
        <f>IF($A20="","",SUMIFS('Batches'!$E$3:$E$302,'Batches'!$A$3:$A$302,$A20,'Batches'!$G$3:$G$302,$C20)+SUMIFS('Movements'!$F$3:$F$1002,'Movements'!$B$3:$B$1002,$A20,'Movements'!$E$3:$E$1002,"In",'Movements'!$H$3:$H$1002,$C20)-SUMIFS('Movements'!$F$3:$F$1002,'Movements'!$B$3:$B$1002,$A20,'Movements'!$E$3:$E$1002,"Out",'Movements'!$G$3:$G$1002,$C20)-SUMIFS('Movements'!$F$3:$F$1002,'Movements'!$B$3:$B$1002,$A20,'Movements'!$E$3:$E$1002,"Waste",'Movements'!$G$3:$G$1002,$C20)+SUMIFS('Movements'!$F$3:$F$1002,'Movements'!$B$3:$B$1002,$A20,'Movements'!$E$3:$E$1002,"Transfer",'Movements'!$H$3:$H$1002,$C20)-SUMIFS('Movements'!$F$3:$F$1002,'Movements'!$B$3:$B$1002,$A20,'Movements'!$E$3:$E$1002,"Transfer",'Movements'!$G$3:$G$1002,$C20))</f>
        <v/>
      </c>
      <c r="G20" s="15">
        <f>IF($A20="","",'Items'!$I20)</f>
        <v/>
      </c>
      <c r="H20" s="8">
        <f>IF(OR($A20="",$G20=""),"",IF($F20&lt;$G20,"Below minimum","OK"))</f>
        <v/>
      </c>
      <c r="I20" s="18">
        <f>IF($A20="","",IF(SUMPRODUCT(SMALL(('Batches'!$A$3:$A$302=$A20)*('Batches'!$G$3:$G$302=$C20)*('Batches'!$D$3:$D$302&gt;0)*('Batches'!$H$3:$H$302&gt;0)*'Batches'!$D$3:$D$302+(1-('Batches'!$A$3:$A$302=$A20)*('Batches'!$G$3:$G$302=$C20)*('Batches'!$D$3:$D$302&gt;0)*('Batches'!$H$3:$H$302&gt;0))*100000,1))&gt;=100000,"",SUMPRODUCT(SMALL(('Batches'!$A$3:$A$302=$A20)*('Batches'!$G$3:$G$302=$C20)*('Batches'!$D$3:$D$302&gt;0)*('Batches'!$H$3:$H$302&gt;0)*'Batches'!$D$3:$D$302+(1-('Batches'!$A$3:$A$302=$A20)*('Batches'!$G$3:$G$302=$C20)*('Batches'!$D$3:$D$302&gt;0)*('Batches'!$H$3:$H$302&gt;0))*100000,1))))</f>
        <v/>
      </c>
      <c r="J20" s="16">
        <f>IF($A20="","",SUMIFS('Batches'!$H$3:$H$302,'Batches'!$A$3:$A$302,$A20,'Batches'!$G$3:$G$302,$C20,'Batches'!$D$3:$D$302,"&gt;0",'Batches'!$D$3:$D$302,"&lt;="&amp;('Settings'!$B$6+'Settings'!$B$7)))</f>
        <v/>
      </c>
      <c r="K20" s="19">
        <f>IF($A20="","",'Items'!$F20)</f>
        <v/>
      </c>
      <c r="L20" s="19">
        <f>IF($A20="","",$F20*$K20)</f>
        <v/>
      </c>
      <c r="M20" s="16">
        <f>IF($A20="","",IF(AND($H20="Below minimum",OR('Order list'!$B$4="",$D20='Order list'!$B$4)),IFERROR(MATCH($D20,Suppliers,0),99)*10000+ROW(),""))</f>
        <v/>
      </c>
    </row>
    <row r="21">
      <c r="A21" s="8">
        <f>IF('Items'!$A21="","",'Items'!$A21)</f>
        <v/>
      </c>
      <c r="B21" s="8">
        <f>IF($A21="","",'Items'!$B21)</f>
        <v/>
      </c>
      <c r="C21" s="8">
        <f>IF($A21="","",'Items'!$K21)</f>
        <v/>
      </c>
      <c r="D21" s="8">
        <f>IF($A21="","",'Items'!$E21)</f>
        <v/>
      </c>
      <c r="E21" s="8">
        <f>IF($A21="","",'Items'!$D21)</f>
        <v/>
      </c>
      <c r="F21" s="16">
        <f>IF($A21="","",SUMIFS('Batches'!$E$3:$E$302,'Batches'!$A$3:$A$302,$A21,'Batches'!$G$3:$G$302,$C21)+SUMIFS('Movements'!$F$3:$F$1002,'Movements'!$B$3:$B$1002,$A21,'Movements'!$E$3:$E$1002,"In",'Movements'!$H$3:$H$1002,$C21)-SUMIFS('Movements'!$F$3:$F$1002,'Movements'!$B$3:$B$1002,$A21,'Movements'!$E$3:$E$1002,"Out",'Movements'!$G$3:$G$1002,$C21)-SUMIFS('Movements'!$F$3:$F$1002,'Movements'!$B$3:$B$1002,$A21,'Movements'!$E$3:$E$1002,"Waste",'Movements'!$G$3:$G$1002,$C21)+SUMIFS('Movements'!$F$3:$F$1002,'Movements'!$B$3:$B$1002,$A21,'Movements'!$E$3:$E$1002,"Transfer",'Movements'!$H$3:$H$1002,$C21)-SUMIFS('Movements'!$F$3:$F$1002,'Movements'!$B$3:$B$1002,$A21,'Movements'!$E$3:$E$1002,"Transfer",'Movements'!$G$3:$G$1002,$C21))</f>
        <v/>
      </c>
      <c r="G21" s="15">
        <f>IF($A21="","",'Items'!$I21)</f>
        <v/>
      </c>
      <c r="H21" s="8">
        <f>IF(OR($A21="",$G21=""),"",IF($F21&lt;$G21,"Below minimum","OK"))</f>
        <v/>
      </c>
      <c r="I21" s="18">
        <f>IF($A21="","",IF(SUMPRODUCT(SMALL(('Batches'!$A$3:$A$302=$A21)*('Batches'!$G$3:$G$302=$C21)*('Batches'!$D$3:$D$302&gt;0)*('Batches'!$H$3:$H$302&gt;0)*'Batches'!$D$3:$D$302+(1-('Batches'!$A$3:$A$302=$A21)*('Batches'!$G$3:$G$302=$C21)*('Batches'!$D$3:$D$302&gt;0)*('Batches'!$H$3:$H$302&gt;0))*100000,1))&gt;=100000,"",SUMPRODUCT(SMALL(('Batches'!$A$3:$A$302=$A21)*('Batches'!$G$3:$G$302=$C21)*('Batches'!$D$3:$D$302&gt;0)*('Batches'!$H$3:$H$302&gt;0)*'Batches'!$D$3:$D$302+(1-('Batches'!$A$3:$A$302=$A21)*('Batches'!$G$3:$G$302=$C21)*('Batches'!$D$3:$D$302&gt;0)*('Batches'!$H$3:$H$302&gt;0))*100000,1))))</f>
        <v/>
      </c>
      <c r="J21" s="16">
        <f>IF($A21="","",SUMIFS('Batches'!$H$3:$H$302,'Batches'!$A$3:$A$302,$A21,'Batches'!$G$3:$G$302,$C21,'Batches'!$D$3:$D$302,"&gt;0",'Batches'!$D$3:$D$302,"&lt;="&amp;('Settings'!$B$6+'Settings'!$B$7)))</f>
        <v/>
      </c>
      <c r="K21" s="19">
        <f>IF($A21="","",'Items'!$F21)</f>
        <v/>
      </c>
      <c r="L21" s="19">
        <f>IF($A21="","",$F21*$K21)</f>
        <v/>
      </c>
      <c r="M21" s="16">
        <f>IF($A21="","",IF(AND($H21="Below minimum",OR('Order list'!$B$4="",$D21='Order list'!$B$4)),IFERROR(MATCH($D21,Suppliers,0),99)*10000+ROW(),""))</f>
        <v/>
      </c>
    </row>
    <row r="22">
      <c r="A22" s="8">
        <f>IF('Items'!$A22="","",'Items'!$A22)</f>
        <v/>
      </c>
      <c r="B22" s="8">
        <f>IF($A22="","",'Items'!$B22)</f>
        <v/>
      </c>
      <c r="C22" s="8">
        <f>IF($A22="","",'Items'!$K22)</f>
        <v/>
      </c>
      <c r="D22" s="8">
        <f>IF($A22="","",'Items'!$E22)</f>
        <v/>
      </c>
      <c r="E22" s="8">
        <f>IF($A22="","",'Items'!$D22)</f>
        <v/>
      </c>
      <c r="F22" s="16">
        <f>IF($A22="","",SUMIFS('Batches'!$E$3:$E$302,'Batches'!$A$3:$A$302,$A22,'Batches'!$G$3:$G$302,$C22)+SUMIFS('Movements'!$F$3:$F$1002,'Movements'!$B$3:$B$1002,$A22,'Movements'!$E$3:$E$1002,"In",'Movements'!$H$3:$H$1002,$C22)-SUMIFS('Movements'!$F$3:$F$1002,'Movements'!$B$3:$B$1002,$A22,'Movements'!$E$3:$E$1002,"Out",'Movements'!$G$3:$G$1002,$C22)-SUMIFS('Movements'!$F$3:$F$1002,'Movements'!$B$3:$B$1002,$A22,'Movements'!$E$3:$E$1002,"Waste",'Movements'!$G$3:$G$1002,$C22)+SUMIFS('Movements'!$F$3:$F$1002,'Movements'!$B$3:$B$1002,$A22,'Movements'!$E$3:$E$1002,"Transfer",'Movements'!$H$3:$H$1002,$C22)-SUMIFS('Movements'!$F$3:$F$1002,'Movements'!$B$3:$B$1002,$A22,'Movements'!$E$3:$E$1002,"Transfer",'Movements'!$G$3:$G$1002,$C22))</f>
        <v/>
      </c>
      <c r="G22" s="15">
        <f>IF($A22="","",'Items'!$I22)</f>
        <v/>
      </c>
      <c r="H22" s="8">
        <f>IF(OR($A22="",$G22=""),"",IF($F22&lt;$G22,"Below minimum","OK"))</f>
        <v/>
      </c>
      <c r="I22" s="18">
        <f>IF($A22="","",IF(SUMPRODUCT(SMALL(('Batches'!$A$3:$A$302=$A22)*('Batches'!$G$3:$G$302=$C22)*('Batches'!$D$3:$D$302&gt;0)*('Batches'!$H$3:$H$302&gt;0)*'Batches'!$D$3:$D$302+(1-('Batches'!$A$3:$A$302=$A22)*('Batches'!$G$3:$G$302=$C22)*('Batches'!$D$3:$D$302&gt;0)*('Batches'!$H$3:$H$302&gt;0))*100000,1))&gt;=100000,"",SUMPRODUCT(SMALL(('Batches'!$A$3:$A$302=$A22)*('Batches'!$G$3:$G$302=$C22)*('Batches'!$D$3:$D$302&gt;0)*('Batches'!$H$3:$H$302&gt;0)*'Batches'!$D$3:$D$302+(1-('Batches'!$A$3:$A$302=$A22)*('Batches'!$G$3:$G$302=$C22)*('Batches'!$D$3:$D$302&gt;0)*('Batches'!$H$3:$H$302&gt;0))*100000,1))))</f>
        <v/>
      </c>
      <c r="J22" s="16">
        <f>IF($A22="","",SUMIFS('Batches'!$H$3:$H$302,'Batches'!$A$3:$A$302,$A22,'Batches'!$G$3:$G$302,$C22,'Batches'!$D$3:$D$302,"&gt;0",'Batches'!$D$3:$D$302,"&lt;="&amp;('Settings'!$B$6+'Settings'!$B$7)))</f>
        <v/>
      </c>
      <c r="K22" s="19">
        <f>IF($A22="","",'Items'!$F22)</f>
        <v/>
      </c>
      <c r="L22" s="19">
        <f>IF($A22="","",$F22*$K22)</f>
        <v/>
      </c>
      <c r="M22" s="16">
        <f>IF($A22="","",IF(AND($H22="Below minimum",OR('Order list'!$B$4="",$D22='Order list'!$B$4)),IFERROR(MATCH($D22,Suppliers,0),99)*10000+ROW(),""))</f>
        <v/>
      </c>
    </row>
    <row r="23">
      <c r="A23" s="8">
        <f>IF('Items'!$A23="","",'Items'!$A23)</f>
        <v/>
      </c>
      <c r="B23" s="8">
        <f>IF($A23="","",'Items'!$B23)</f>
        <v/>
      </c>
      <c r="C23" s="8">
        <f>IF($A23="","",'Items'!$K23)</f>
        <v/>
      </c>
      <c r="D23" s="8">
        <f>IF($A23="","",'Items'!$E23)</f>
        <v/>
      </c>
      <c r="E23" s="8">
        <f>IF($A23="","",'Items'!$D23)</f>
        <v/>
      </c>
      <c r="F23" s="16">
        <f>IF($A23="","",SUMIFS('Batches'!$E$3:$E$302,'Batches'!$A$3:$A$302,$A23,'Batches'!$G$3:$G$302,$C23)+SUMIFS('Movements'!$F$3:$F$1002,'Movements'!$B$3:$B$1002,$A23,'Movements'!$E$3:$E$1002,"In",'Movements'!$H$3:$H$1002,$C23)-SUMIFS('Movements'!$F$3:$F$1002,'Movements'!$B$3:$B$1002,$A23,'Movements'!$E$3:$E$1002,"Out",'Movements'!$G$3:$G$1002,$C23)-SUMIFS('Movements'!$F$3:$F$1002,'Movements'!$B$3:$B$1002,$A23,'Movements'!$E$3:$E$1002,"Waste",'Movements'!$G$3:$G$1002,$C23)+SUMIFS('Movements'!$F$3:$F$1002,'Movements'!$B$3:$B$1002,$A23,'Movements'!$E$3:$E$1002,"Transfer",'Movements'!$H$3:$H$1002,$C23)-SUMIFS('Movements'!$F$3:$F$1002,'Movements'!$B$3:$B$1002,$A23,'Movements'!$E$3:$E$1002,"Transfer",'Movements'!$G$3:$G$1002,$C23))</f>
        <v/>
      </c>
      <c r="G23" s="15">
        <f>IF($A23="","",'Items'!$I23)</f>
        <v/>
      </c>
      <c r="H23" s="8">
        <f>IF(OR($A23="",$G23=""),"",IF($F23&lt;$G23,"Below minimum","OK"))</f>
        <v/>
      </c>
      <c r="I23" s="18">
        <f>IF($A23="","",IF(SUMPRODUCT(SMALL(('Batches'!$A$3:$A$302=$A23)*('Batches'!$G$3:$G$302=$C23)*('Batches'!$D$3:$D$302&gt;0)*('Batches'!$H$3:$H$302&gt;0)*'Batches'!$D$3:$D$302+(1-('Batches'!$A$3:$A$302=$A23)*('Batches'!$G$3:$G$302=$C23)*('Batches'!$D$3:$D$302&gt;0)*('Batches'!$H$3:$H$302&gt;0))*100000,1))&gt;=100000,"",SUMPRODUCT(SMALL(('Batches'!$A$3:$A$302=$A23)*('Batches'!$G$3:$G$302=$C23)*('Batches'!$D$3:$D$302&gt;0)*('Batches'!$H$3:$H$302&gt;0)*'Batches'!$D$3:$D$302+(1-('Batches'!$A$3:$A$302=$A23)*('Batches'!$G$3:$G$302=$C23)*('Batches'!$D$3:$D$302&gt;0)*('Batches'!$H$3:$H$302&gt;0))*100000,1))))</f>
        <v/>
      </c>
      <c r="J23" s="16">
        <f>IF($A23="","",SUMIFS('Batches'!$H$3:$H$302,'Batches'!$A$3:$A$302,$A23,'Batches'!$G$3:$G$302,$C23,'Batches'!$D$3:$D$302,"&gt;0",'Batches'!$D$3:$D$302,"&lt;="&amp;('Settings'!$B$6+'Settings'!$B$7)))</f>
        <v/>
      </c>
      <c r="K23" s="19">
        <f>IF($A23="","",'Items'!$F23)</f>
        <v/>
      </c>
      <c r="L23" s="19">
        <f>IF($A23="","",$F23*$K23)</f>
        <v/>
      </c>
      <c r="M23" s="16">
        <f>IF($A23="","",IF(AND($H23="Below minimum",OR('Order list'!$B$4="",$D23='Order list'!$B$4)),IFERROR(MATCH($D23,Suppliers,0),99)*10000+ROW(),""))</f>
        <v/>
      </c>
    </row>
    <row r="24">
      <c r="A24" s="8">
        <f>IF('Items'!$A24="","",'Items'!$A24)</f>
        <v/>
      </c>
      <c r="B24" s="8">
        <f>IF($A24="","",'Items'!$B24)</f>
        <v/>
      </c>
      <c r="C24" s="8">
        <f>IF($A24="","",'Items'!$K24)</f>
        <v/>
      </c>
      <c r="D24" s="8">
        <f>IF($A24="","",'Items'!$E24)</f>
        <v/>
      </c>
      <c r="E24" s="8">
        <f>IF($A24="","",'Items'!$D24)</f>
        <v/>
      </c>
      <c r="F24" s="16">
        <f>IF($A24="","",SUMIFS('Batches'!$E$3:$E$302,'Batches'!$A$3:$A$302,$A24,'Batches'!$G$3:$G$302,$C24)+SUMIFS('Movements'!$F$3:$F$1002,'Movements'!$B$3:$B$1002,$A24,'Movements'!$E$3:$E$1002,"In",'Movements'!$H$3:$H$1002,$C24)-SUMIFS('Movements'!$F$3:$F$1002,'Movements'!$B$3:$B$1002,$A24,'Movements'!$E$3:$E$1002,"Out",'Movements'!$G$3:$G$1002,$C24)-SUMIFS('Movements'!$F$3:$F$1002,'Movements'!$B$3:$B$1002,$A24,'Movements'!$E$3:$E$1002,"Waste",'Movements'!$G$3:$G$1002,$C24)+SUMIFS('Movements'!$F$3:$F$1002,'Movements'!$B$3:$B$1002,$A24,'Movements'!$E$3:$E$1002,"Transfer",'Movements'!$H$3:$H$1002,$C24)-SUMIFS('Movements'!$F$3:$F$1002,'Movements'!$B$3:$B$1002,$A24,'Movements'!$E$3:$E$1002,"Transfer",'Movements'!$G$3:$G$1002,$C24))</f>
        <v/>
      </c>
      <c r="G24" s="15">
        <f>IF($A24="","",'Items'!$I24)</f>
        <v/>
      </c>
      <c r="H24" s="8">
        <f>IF(OR($A24="",$G24=""),"",IF($F24&lt;$G24,"Below minimum","OK"))</f>
        <v/>
      </c>
      <c r="I24" s="18">
        <f>IF($A24="","",IF(SUMPRODUCT(SMALL(('Batches'!$A$3:$A$302=$A24)*('Batches'!$G$3:$G$302=$C24)*('Batches'!$D$3:$D$302&gt;0)*('Batches'!$H$3:$H$302&gt;0)*'Batches'!$D$3:$D$302+(1-('Batches'!$A$3:$A$302=$A24)*('Batches'!$G$3:$G$302=$C24)*('Batches'!$D$3:$D$302&gt;0)*('Batches'!$H$3:$H$302&gt;0))*100000,1))&gt;=100000,"",SUMPRODUCT(SMALL(('Batches'!$A$3:$A$302=$A24)*('Batches'!$G$3:$G$302=$C24)*('Batches'!$D$3:$D$302&gt;0)*('Batches'!$H$3:$H$302&gt;0)*'Batches'!$D$3:$D$302+(1-('Batches'!$A$3:$A$302=$A24)*('Batches'!$G$3:$G$302=$C24)*('Batches'!$D$3:$D$302&gt;0)*('Batches'!$H$3:$H$302&gt;0))*100000,1))))</f>
        <v/>
      </c>
      <c r="J24" s="16">
        <f>IF($A24="","",SUMIFS('Batches'!$H$3:$H$302,'Batches'!$A$3:$A$302,$A24,'Batches'!$G$3:$G$302,$C24,'Batches'!$D$3:$D$302,"&gt;0",'Batches'!$D$3:$D$302,"&lt;="&amp;('Settings'!$B$6+'Settings'!$B$7)))</f>
        <v/>
      </c>
      <c r="K24" s="19">
        <f>IF($A24="","",'Items'!$F24)</f>
        <v/>
      </c>
      <c r="L24" s="19">
        <f>IF($A24="","",$F24*$K24)</f>
        <v/>
      </c>
      <c r="M24" s="16">
        <f>IF($A24="","",IF(AND($H24="Below minimum",OR('Order list'!$B$4="",$D24='Order list'!$B$4)),IFERROR(MATCH($D24,Suppliers,0),99)*10000+ROW(),""))</f>
        <v/>
      </c>
    </row>
    <row r="25">
      <c r="A25" s="8">
        <f>IF('Items'!$A25="","",'Items'!$A25)</f>
        <v/>
      </c>
      <c r="B25" s="8">
        <f>IF($A25="","",'Items'!$B25)</f>
        <v/>
      </c>
      <c r="C25" s="8">
        <f>IF($A25="","",'Items'!$K25)</f>
        <v/>
      </c>
      <c r="D25" s="8">
        <f>IF($A25="","",'Items'!$E25)</f>
        <v/>
      </c>
      <c r="E25" s="8">
        <f>IF($A25="","",'Items'!$D25)</f>
        <v/>
      </c>
      <c r="F25" s="16">
        <f>IF($A25="","",SUMIFS('Batches'!$E$3:$E$302,'Batches'!$A$3:$A$302,$A25,'Batches'!$G$3:$G$302,$C25)+SUMIFS('Movements'!$F$3:$F$1002,'Movements'!$B$3:$B$1002,$A25,'Movements'!$E$3:$E$1002,"In",'Movements'!$H$3:$H$1002,$C25)-SUMIFS('Movements'!$F$3:$F$1002,'Movements'!$B$3:$B$1002,$A25,'Movements'!$E$3:$E$1002,"Out",'Movements'!$G$3:$G$1002,$C25)-SUMIFS('Movements'!$F$3:$F$1002,'Movements'!$B$3:$B$1002,$A25,'Movements'!$E$3:$E$1002,"Waste",'Movements'!$G$3:$G$1002,$C25)+SUMIFS('Movements'!$F$3:$F$1002,'Movements'!$B$3:$B$1002,$A25,'Movements'!$E$3:$E$1002,"Transfer",'Movements'!$H$3:$H$1002,$C25)-SUMIFS('Movements'!$F$3:$F$1002,'Movements'!$B$3:$B$1002,$A25,'Movements'!$E$3:$E$1002,"Transfer",'Movements'!$G$3:$G$1002,$C25))</f>
        <v/>
      </c>
      <c r="G25" s="15">
        <f>IF($A25="","",'Items'!$I25)</f>
        <v/>
      </c>
      <c r="H25" s="8">
        <f>IF(OR($A25="",$G25=""),"",IF($F25&lt;$G25,"Below minimum","OK"))</f>
        <v/>
      </c>
      <c r="I25" s="18">
        <f>IF($A25="","",IF(SUMPRODUCT(SMALL(('Batches'!$A$3:$A$302=$A25)*('Batches'!$G$3:$G$302=$C25)*('Batches'!$D$3:$D$302&gt;0)*('Batches'!$H$3:$H$302&gt;0)*'Batches'!$D$3:$D$302+(1-('Batches'!$A$3:$A$302=$A25)*('Batches'!$G$3:$G$302=$C25)*('Batches'!$D$3:$D$302&gt;0)*('Batches'!$H$3:$H$302&gt;0))*100000,1))&gt;=100000,"",SUMPRODUCT(SMALL(('Batches'!$A$3:$A$302=$A25)*('Batches'!$G$3:$G$302=$C25)*('Batches'!$D$3:$D$302&gt;0)*('Batches'!$H$3:$H$302&gt;0)*'Batches'!$D$3:$D$302+(1-('Batches'!$A$3:$A$302=$A25)*('Batches'!$G$3:$G$302=$C25)*('Batches'!$D$3:$D$302&gt;0)*('Batches'!$H$3:$H$302&gt;0))*100000,1))))</f>
        <v/>
      </c>
      <c r="J25" s="16">
        <f>IF($A25="","",SUMIFS('Batches'!$H$3:$H$302,'Batches'!$A$3:$A$302,$A25,'Batches'!$G$3:$G$302,$C25,'Batches'!$D$3:$D$302,"&gt;0",'Batches'!$D$3:$D$302,"&lt;="&amp;('Settings'!$B$6+'Settings'!$B$7)))</f>
        <v/>
      </c>
      <c r="K25" s="19">
        <f>IF($A25="","",'Items'!$F25)</f>
        <v/>
      </c>
      <c r="L25" s="19">
        <f>IF($A25="","",$F25*$K25)</f>
        <v/>
      </c>
      <c r="M25" s="16">
        <f>IF($A25="","",IF(AND($H25="Below minimum",OR('Order list'!$B$4="",$D25='Order list'!$B$4)),IFERROR(MATCH($D25,Suppliers,0),99)*10000+ROW(),""))</f>
        <v/>
      </c>
    </row>
    <row r="26">
      <c r="A26" s="8">
        <f>IF('Items'!$A26="","",'Items'!$A26)</f>
        <v/>
      </c>
      <c r="B26" s="8">
        <f>IF($A26="","",'Items'!$B26)</f>
        <v/>
      </c>
      <c r="C26" s="8">
        <f>IF($A26="","",'Items'!$K26)</f>
        <v/>
      </c>
      <c r="D26" s="8">
        <f>IF($A26="","",'Items'!$E26)</f>
        <v/>
      </c>
      <c r="E26" s="8">
        <f>IF($A26="","",'Items'!$D26)</f>
        <v/>
      </c>
      <c r="F26" s="16">
        <f>IF($A26="","",SUMIFS('Batches'!$E$3:$E$302,'Batches'!$A$3:$A$302,$A26,'Batches'!$G$3:$G$302,$C26)+SUMIFS('Movements'!$F$3:$F$1002,'Movements'!$B$3:$B$1002,$A26,'Movements'!$E$3:$E$1002,"In",'Movements'!$H$3:$H$1002,$C26)-SUMIFS('Movements'!$F$3:$F$1002,'Movements'!$B$3:$B$1002,$A26,'Movements'!$E$3:$E$1002,"Out",'Movements'!$G$3:$G$1002,$C26)-SUMIFS('Movements'!$F$3:$F$1002,'Movements'!$B$3:$B$1002,$A26,'Movements'!$E$3:$E$1002,"Waste",'Movements'!$G$3:$G$1002,$C26)+SUMIFS('Movements'!$F$3:$F$1002,'Movements'!$B$3:$B$1002,$A26,'Movements'!$E$3:$E$1002,"Transfer",'Movements'!$H$3:$H$1002,$C26)-SUMIFS('Movements'!$F$3:$F$1002,'Movements'!$B$3:$B$1002,$A26,'Movements'!$E$3:$E$1002,"Transfer",'Movements'!$G$3:$G$1002,$C26))</f>
        <v/>
      </c>
      <c r="G26" s="15">
        <f>IF($A26="","",'Items'!$I26)</f>
        <v/>
      </c>
      <c r="H26" s="8">
        <f>IF(OR($A26="",$G26=""),"",IF($F26&lt;$G26,"Below minimum","OK"))</f>
        <v/>
      </c>
      <c r="I26" s="18">
        <f>IF($A26="","",IF(SUMPRODUCT(SMALL(('Batches'!$A$3:$A$302=$A26)*('Batches'!$G$3:$G$302=$C26)*('Batches'!$D$3:$D$302&gt;0)*('Batches'!$H$3:$H$302&gt;0)*'Batches'!$D$3:$D$302+(1-('Batches'!$A$3:$A$302=$A26)*('Batches'!$G$3:$G$302=$C26)*('Batches'!$D$3:$D$302&gt;0)*('Batches'!$H$3:$H$302&gt;0))*100000,1))&gt;=100000,"",SUMPRODUCT(SMALL(('Batches'!$A$3:$A$302=$A26)*('Batches'!$G$3:$G$302=$C26)*('Batches'!$D$3:$D$302&gt;0)*('Batches'!$H$3:$H$302&gt;0)*'Batches'!$D$3:$D$302+(1-('Batches'!$A$3:$A$302=$A26)*('Batches'!$G$3:$G$302=$C26)*('Batches'!$D$3:$D$302&gt;0)*('Batches'!$H$3:$H$302&gt;0))*100000,1))))</f>
        <v/>
      </c>
      <c r="J26" s="16">
        <f>IF($A26="","",SUMIFS('Batches'!$H$3:$H$302,'Batches'!$A$3:$A$302,$A26,'Batches'!$G$3:$G$302,$C26,'Batches'!$D$3:$D$302,"&gt;0",'Batches'!$D$3:$D$302,"&lt;="&amp;('Settings'!$B$6+'Settings'!$B$7)))</f>
        <v/>
      </c>
      <c r="K26" s="19">
        <f>IF($A26="","",'Items'!$F26)</f>
        <v/>
      </c>
      <c r="L26" s="19">
        <f>IF($A26="","",$F26*$K26)</f>
        <v/>
      </c>
      <c r="M26" s="16">
        <f>IF($A26="","",IF(AND($H26="Below minimum",OR('Order list'!$B$4="",$D26='Order list'!$B$4)),IFERROR(MATCH($D26,Suppliers,0),99)*10000+ROW(),""))</f>
        <v/>
      </c>
    </row>
    <row r="27">
      <c r="A27" s="8">
        <f>IF('Items'!$A27="","",'Items'!$A27)</f>
        <v/>
      </c>
      <c r="B27" s="8">
        <f>IF($A27="","",'Items'!$B27)</f>
        <v/>
      </c>
      <c r="C27" s="8">
        <f>IF($A27="","",'Items'!$K27)</f>
        <v/>
      </c>
      <c r="D27" s="8">
        <f>IF($A27="","",'Items'!$E27)</f>
        <v/>
      </c>
      <c r="E27" s="8">
        <f>IF($A27="","",'Items'!$D27)</f>
        <v/>
      </c>
      <c r="F27" s="16">
        <f>IF($A27="","",SUMIFS('Batches'!$E$3:$E$302,'Batches'!$A$3:$A$302,$A27,'Batches'!$G$3:$G$302,$C27)+SUMIFS('Movements'!$F$3:$F$1002,'Movements'!$B$3:$B$1002,$A27,'Movements'!$E$3:$E$1002,"In",'Movements'!$H$3:$H$1002,$C27)-SUMIFS('Movements'!$F$3:$F$1002,'Movements'!$B$3:$B$1002,$A27,'Movements'!$E$3:$E$1002,"Out",'Movements'!$G$3:$G$1002,$C27)-SUMIFS('Movements'!$F$3:$F$1002,'Movements'!$B$3:$B$1002,$A27,'Movements'!$E$3:$E$1002,"Waste",'Movements'!$G$3:$G$1002,$C27)+SUMIFS('Movements'!$F$3:$F$1002,'Movements'!$B$3:$B$1002,$A27,'Movements'!$E$3:$E$1002,"Transfer",'Movements'!$H$3:$H$1002,$C27)-SUMIFS('Movements'!$F$3:$F$1002,'Movements'!$B$3:$B$1002,$A27,'Movements'!$E$3:$E$1002,"Transfer",'Movements'!$G$3:$G$1002,$C27))</f>
        <v/>
      </c>
      <c r="G27" s="15">
        <f>IF($A27="","",'Items'!$I27)</f>
        <v/>
      </c>
      <c r="H27" s="8">
        <f>IF(OR($A27="",$G27=""),"",IF($F27&lt;$G27,"Below minimum","OK"))</f>
        <v/>
      </c>
      <c r="I27" s="18">
        <f>IF($A27="","",IF(SUMPRODUCT(SMALL(('Batches'!$A$3:$A$302=$A27)*('Batches'!$G$3:$G$302=$C27)*('Batches'!$D$3:$D$302&gt;0)*('Batches'!$H$3:$H$302&gt;0)*'Batches'!$D$3:$D$302+(1-('Batches'!$A$3:$A$302=$A27)*('Batches'!$G$3:$G$302=$C27)*('Batches'!$D$3:$D$302&gt;0)*('Batches'!$H$3:$H$302&gt;0))*100000,1))&gt;=100000,"",SUMPRODUCT(SMALL(('Batches'!$A$3:$A$302=$A27)*('Batches'!$G$3:$G$302=$C27)*('Batches'!$D$3:$D$302&gt;0)*('Batches'!$H$3:$H$302&gt;0)*'Batches'!$D$3:$D$302+(1-('Batches'!$A$3:$A$302=$A27)*('Batches'!$G$3:$G$302=$C27)*('Batches'!$D$3:$D$302&gt;0)*('Batches'!$H$3:$H$302&gt;0))*100000,1))))</f>
        <v/>
      </c>
      <c r="J27" s="16">
        <f>IF($A27="","",SUMIFS('Batches'!$H$3:$H$302,'Batches'!$A$3:$A$302,$A27,'Batches'!$G$3:$G$302,$C27,'Batches'!$D$3:$D$302,"&gt;0",'Batches'!$D$3:$D$302,"&lt;="&amp;('Settings'!$B$6+'Settings'!$B$7)))</f>
        <v/>
      </c>
      <c r="K27" s="19">
        <f>IF($A27="","",'Items'!$F27)</f>
        <v/>
      </c>
      <c r="L27" s="19">
        <f>IF($A27="","",$F27*$K27)</f>
        <v/>
      </c>
      <c r="M27" s="16">
        <f>IF($A27="","",IF(AND($H27="Below minimum",OR('Order list'!$B$4="",$D27='Order list'!$B$4)),IFERROR(MATCH($D27,Suppliers,0),99)*10000+ROW(),""))</f>
        <v/>
      </c>
    </row>
    <row r="28">
      <c r="A28" s="8">
        <f>IF('Items'!$A28="","",'Items'!$A28)</f>
        <v/>
      </c>
      <c r="B28" s="8">
        <f>IF($A28="","",'Items'!$B28)</f>
        <v/>
      </c>
      <c r="C28" s="8">
        <f>IF($A28="","",'Items'!$K28)</f>
        <v/>
      </c>
      <c r="D28" s="8">
        <f>IF($A28="","",'Items'!$E28)</f>
        <v/>
      </c>
      <c r="E28" s="8">
        <f>IF($A28="","",'Items'!$D28)</f>
        <v/>
      </c>
      <c r="F28" s="16">
        <f>IF($A28="","",SUMIFS('Batches'!$E$3:$E$302,'Batches'!$A$3:$A$302,$A28,'Batches'!$G$3:$G$302,$C28)+SUMIFS('Movements'!$F$3:$F$1002,'Movements'!$B$3:$B$1002,$A28,'Movements'!$E$3:$E$1002,"In",'Movements'!$H$3:$H$1002,$C28)-SUMIFS('Movements'!$F$3:$F$1002,'Movements'!$B$3:$B$1002,$A28,'Movements'!$E$3:$E$1002,"Out",'Movements'!$G$3:$G$1002,$C28)-SUMIFS('Movements'!$F$3:$F$1002,'Movements'!$B$3:$B$1002,$A28,'Movements'!$E$3:$E$1002,"Waste",'Movements'!$G$3:$G$1002,$C28)+SUMIFS('Movements'!$F$3:$F$1002,'Movements'!$B$3:$B$1002,$A28,'Movements'!$E$3:$E$1002,"Transfer",'Movements'!$H$3:$H$1002,$C28)-SUMIFS('Movements'!$F$3:$F$1002,'Movements'!$B$3:$B$1002,$A28,'Movements'!$E$3:$E$1002,"Transfer",'Movements'!$G$3:$G$1002,$C28))</f>
        <v/>
      </c>
      <c r="G28" s="15">
        <f>IF($A28="","",'Items'!$I28)</f>
        <v/>
      </c>
      <c r="H28" s="8">
        <f>IF(OR($A28="",$G28=""),"",IF($F28&lt;$G28,"Below minimum","OK"))</f>
        <v/>
      </c>
      <c r="I28" s="18">
        <f>IF($A28="","",IF(SUMPRODUCT(SMALL(('Batches'!$A$3:$A$302=$A28)*('Batches'!$G$3:$G$302=$C28)*('Batches'!$D$3:$D$302&gt;0)*('Batches'!$H$3:$H$302&gt;0)*'Batches'!$D$3:$D$302+(1-('Batches'!$A$3:$A$302=$A28)*('Batches'!$G$3:$G$302=$C28)*('Batches'!$D$3:$D$302&gt;0)*('Batches'!$H$3:$H$302&gt;0))*100000,1))&gt;=100000,"",SUMPRODUCT(SMALL(('Batches'!$A$3:$A$302=$A28)*('Batches'!$G$3:$G$302=$C28)*('Batches'!$D$3:$D$302&gt;0)*('Batches'!$H$3:$H$302&gt;0)*'Batches'!$D$3:$D$302+(1-('Batches'!$A$3:$A$302=$A28)*('Batches'!$G$3:$G$302=$C28)*('Batches'!$D$3:$D$302&gt;0)*('Batches'!$H$3:$H$302&gt;0))*100000,1))))</f>
        <v/>
      </c>
      <c r="J28" s="16">
        <f>IF($A28="","",SUMIFS('Batches'!$H$3:$H$302,'Batches'!$A$3:$A$302,$A28,'Batches'!$G$3:$G$302,$C28,'Batches'!$D$3:$D$302,"&gt;0",'Batches'!$D$3:$D$302,"&lt;="&amp;('Settings'!$B$6+'Settings'!$B$7)))</f>
        <v/>
      </c>
      <c r="K28" s="19">
        <f>IF($A28="","",'Items'!$F28)</f>
        <v/>
      </c>
      <c r="L28" s="19">
        <f>IF($A28="","",$F28*$K28)</f>
        <v/>
      </c>
      <c r="M28" s="16">
        <f>IF($A28="","",IF(AND($H28="Below minimum",OR('Order list'!$B$4="",$D28='Order list'!$B$4)),IFERROR(MATCH($D28,Suppliers,0),99)*10000+ROW(),""))</f>
        <v/>
      </c>
    </row>
    <row r="29">
      <c r="A29" s="8">
        <f>IF('Items'!$A29="","",'Items'!$A29)</f>
        <v/>
      </c>
      <c r="B29" s="8">
        <f>IF($A29="","",'Items'!$B29)</f>
        <v/>
      </c>
      <c r="C29" s="8">
        <f>IF($A29="","",'Items'!$K29)</f>
        <v/>
      </c>
      <c r="D29" s="8">
        <f>IF($A29="","",'Items'!$E29)</f>
        <v/>
      </c>
      <c r="E29" s="8">
        <f>IF($A29="","",'Items'!$D29)</f>
        <v/>
      </c>
      <c r="F29" s="16">
        <f>IF($A29="","",SUMIFS('Batches'!$E$3:$E$302,'Batches'!$A$3:$A$302,$A29,'Batches'!$G$3:$G$302,$C29)+SUMIFS('Movements'!$F$3:$F$1002,'Movements'!$B$3:$B$1002,$A29,'Movements'!$E$3:$E$1002,"In",'Movements'!$H$3:$H$1002,$C29)-SUMIFS('Movements'!$F$3:$F$1002,'Movements'!$B$3:$B$1002,$A29,'Movements'!$E$3:$E$1002,"Out",'Movements'!$G$3:$G$1002,$C29)-SUMIFS('Movements'!$F$3:$F$1002,'Movements'!$B$3:$B$1002,$A29,'Movements'!$E$3:$E$1002,"Waste",'Movements'!$G$3:$G$1002,$C29)+SUMIFS('Movements'!$F$3:$F$1002,'Movements'!$B$3:$B$1002,$A29,'Movements'!$E$3:$E$1002,"Transfer",'Movements'!$H$3:$H$1002,$C29)-SUMIFS('Movements'!$F$3:$F$1002,'Movements'!$B$3:$B$1002,$A29,'Movements'!$E$3:$E$1002,"Transfer",'Movements'!$G$3:$G$1002,$C29))</f>
        <v/>
      </c>
      <c r="G29" s="15">
        <f>IF($A29="","",'Items'!$I29)</f>
        <v/>
      </c>
      <c r="H29" s="8">
        <f>IF(OR($A29="",$G29=""),"",IF($F29&lt;$G29,"Below minimum","OK"))</f>
        <v/>
      </c>
      <c r="I29" s="18">
        <f>IF($A29="","",IF(SUMPRODUCT(SMALL(('Batches'!$A$3:$A$302=$A29)*('Batches'!$G$3:$G$302=$C29)*('Batches'!$D$3:$D$302&gt;0)*('Batches'!$H$3:$H$302&gt;0)*'Batches'!$D$3:$D$302+(1-('Batches'!$A$3:$A$302=$A29)*('Batches'!$G$3:$G$302=$C29)*('Batches'!$D$3:$D$302&gt;0)*('Batches'!$H$3:$H$302&gt;0))*100000,1))&gt;=100000,"",SUMPRODUCT(SMALL(('Batches'!$A$3:$A$302=$A29)*('Batches'!$G$3:$G$302=$C29)*('Batches'!$D$3:$D$302&gt;0)*('Batches'!$H$3:$H$302&gt;0)*'Batches'!$D$3:$D$302+(1-('Batches'!$A$3:$A$302=$A29)*('Batches'!$G$3:$G$302=$C29)*('Batches'!$D$3:$D$302&gt;0)*('Batches'!$H$3:$H$302&gt;0))*100000,1))))</f>
        <v/>
      </c>
      <c r="J29" s="16">
        <f>IF($A29="","",SUMIFS('Batches'!$H$3:$H$302,'Batches'!$A$3:$A$302,$A29,'Batches'!$G$3:$G$302,$C29,'Batches'!$D$3:$D$302,"&gt;0",'Batches'!$D$3:$D$302,"&lt;="&amp;('Settings'!$B$6+'Settings'!$B$7)))</f>
        <v/>
      </c>
      <c r="K29" s="19">
        <f>IF($A29="","",'Items'!$F29)</f>
        <v/>
      </c>
      <c r="L29" s="19">
        <f>IF($A29="","",$F29*$K29)</f>
        <v/>
      </c>
      <c r="M29" s="16">
        <f>IF($A29="","",IF(AND($H29="Below minimum",OR('Order list'!$B$4="",$D29='Order list'!$B$4)),IFERROR(MATCH($D29,Suppliers,0),99)*10000+ROW(),""))</f>
        <v/>
      </c>
    </row>
    <row r="30">
      <c r="A30" s="8">
        <f>IF('Items'!$A30="","",'Items'!$A30)</f>
        <v/>
      </c>
      <c r="B30" s="8">
        <f>IF($A30="","",'Items'!$B30)</f>
        <v/>
      </c>
      <c r="C30" s="8">
        <f>IF($A30="","",'Items'!$K30)</f>
        <v/>
      </c>
      <c r="D30" s="8">
        <f>IF($A30="","",'Items'!$E30)</f>
        <v/>
      </c>
      <c r="E30" s="8">
        <f>IF($A30="","",'Items'!$D30)</f>
        <v/>
      </c>
      <c r="F30" s="16">
        <f>IF($A30="","",SUMIFS('Batches'!$E$3:$E$302,'Batches'!$A$3:$A$302,$A30,'Batches'!$G$3:$G$302,$C30)+SUMIFS('Movements'!$F$3:$F$1002,'Movements'!$B$3:$B$1002,$A30,'Movements'!$E$3:$E$1002,"In",'Movements'!$H$3:$H$1002,$C30)-SUMIFS('Movements'!$F$3:$F$1002,'Movements'!$B$3:$B$1002,$A30,'Movements'!$E$3:$E$1002,"Out",'Movements'!$G$3:$G$1002,$C30)-SUMIFS('Movements'!$F$3:$F$1002,'Movements'!$B$3:$B$1002,$A30,'Movements'!$E$3:$E$1002,"Waste",'Movements'!$G$3:$G$1002,$C30)+SUMIFS('Movements'!$F$3:$F$1002,'Movements'!$B$3:$B$1002,$A30,'Movements'!$E$3:$E$1002,"Transfer",'Movements'!$H$3:$H$1002,$C30)-SUMIFS('Movements'!$F$3:$F$1002,'Movements'!$B$3:$B$1002,$A30,'Movements'!$E$3:$E$1002,"Transfer",'Movements'!$G$3:$G$1002,$C30))</f>
        <v/>
      </c>
      <c r="G30" s="15">
        <f>IF($A30="","",'Items'!$I30)</f>
        <v/>
      </c>
      <c r="H30" s="8">
        <f>IF(OR($A30="",$G30=""),"",IF($F30&lt;$G30,"Below minimum","OK"))</f>
        <v/>
      </c>
      <c r="I30" s="18">
        <f>IF($A30="","",IF(SUMPRODUCT(SMALL(('Batches'!$A$3:$A$302=$A30)*('Batches'!$G$3:$G$302=$C30)*('Batches'!$D$3:$D$302&gt;0)*('Batches'!$H$3:$H$302&gt;0)*'Batches'!$D$3:$D$302+(1-('Batches'!$A$3:$A$302=$A30)*('Batches'!$G$3:$G$302=$C30)*('Batches'!$D$3:$D$302&gt;0)*('Batches'!$H$3:$H$302&gt;0))*100000,1))&gt;=100000,"",SUMPRODUCT(SMALL(('Batches'!$A$3:$A$302=$A30)*('Batches'!$G$3:$G$302=$C30)*('Batches'!$D$3:$D$302&gt;0)*('Batches'!$H$3:$H$302&gt;0)*'Batches'!$D$3:$D$302+(1-('Batches'!$A$3:$A$302=$A30)*('Batches'!$G$3:$G$302=$C30)*('Batches'!$D$3:$D$302&gt;0)*('Batches'!$H$3:$H$302&gt;0))*100000,1))))</f>
        <v/>
      </c>
      <c r="J30" s="16">
        <f>IF($A30="","",SUMIFS('Batches'!$H$3:$H$302,'Batches'!$A$3:$A$302,$A30,'Batches'!$G$3:$G$302,$C30,'Batches'!$D$3:$D$302,"&gt;0",'Batches'!$D$3:$D$302,"&lt;="&amp;('Settings'!$B$6+'Settings'!$B$7)))</f>
        <v/>
      </c>
      <c r="K30" s="19">
        <f>IF($A30="","",'Items'!$F30)</f>
        <v/>
      </c>
      <c r="L30" s="19">
        <f>IF($A30="","",$F30*$K30)</f>
        <v/>
      </c>
      <c r="M30" s="16">
        <f>IF($A30="","",IF(AND($H30="Below minimum",OR('Order list'!$B$4="",$D30='Order list'!$B$4)),IFERROR(MATCH($D30,Suppliers,0),99)*10000+ROW(),""))</f>
        <v/>
      </c>
    </row>
    <row r="31">
      <c r="A31" s="8">
        <f>IF('Items'!$A31="","",'Items'!$A31)</f>
        <v/>
      </c>
      <c r="B31" s="8">
        <f>IF($A31="","",'Items'!$B31)</f>
        <v/>
      </c>
      <c r="C31" s="8">
        <f>IF($A31="","",'Items'!$K31)</f>
        <v/>
      </c>
      <c r="D31" s="8">
        <f>IF($A31="","",'Items'!$E31)</f>
        <v/>
      </c>
      <c r="E31" s="8">
        <f>IF($A31="","",'Items'!$D31)</f>
        <v/>
      </c>
      <c r="F31" s="16">
        <f>IF($A31="","",SUMIFS('Batches'!$E$3:$E$302,'Batches'!$A$3:$A$302,$A31,'Batches'!$G$3:$G$302,$C31)+SUMIFS('Movements'!$F$3:$F$1002,'Movements'!$B$3:$B$1002,$A31,'Movements'!$E$3:$E$1002,"In",'Movements'!$H$3:$H$1002,$C31)-SUMIFS('Movements'!$F$3:$F$1002,'Movements'!$B$3:$B$1002,$A31,'Movements'!$E$3:$E$1002,"Out",'Movements'!$G$3:$G$1002,$C31)-SUMIFS('Movements'!$F$3:$F$1002,'Movements'!$B$3:$B$1002,$A31,'Movements'!$E$3:$E$1002,"Waste",'Movements'!$G$3:$G$1002,$C31)+SUMIFS('Movements'!$F$3:$F$1002,'Movements'!$B$3:$B$1002,$A31,'Movements'!$E$3:$E$1002,"Transfer",'Movements'!$H$3:$H$1002,$C31)-SUMIFS('Movements'!$F$3:$F$1002,'Movements'!$B$3:$B$1002,$A31,'Movements'!$E$3:$E$1002,"Transfer",'Movements'!$G$3:$G$1002,$C31))</f>
        <v/>
      </c>
      <c r="G31" s="15">
        <f>IF($A31="","",'Items'!$I31)</f>
        <v/>
      </c>
      <c r="H31" s="8">
        <f>IF(OR($A31="",$G31=""),"",IF($F31&lt;$G31,"Below minimum","OK"))</f>
        <v/>
      </c>
      <c r="I31" s="18">
        <f>IF($A31="","",IF(SUMPRODUCT(SMALL(('Batches'!$A$3:$A$302=$A31)*('Batches'!$G$3:$G$302=$C31)*('Batches'!$D$3:$D$302&gt;0)*('Batches'!$H$3:$H$302&gt;0)*'Batches'!$D$3:$D$302+(1-('Batches'!$A$3:$A$302=$A31)*('Batches'!$G$3:$G$302=$C31)*('Batches'!$D$3:$D$302&gt;0)*('Batches'!$H$3:$H$302&gt;0))*100000,1))&gt;=100000,"",SUMPRODUCT(SMALL(('Batches'!$A$3:$A$302=$A31)*('Batches'!$G$3:$G$302=$C31)*('Batches'!$D$3:$D$302&gt;0)*('Batches'!$H$3:$H$302&gt;0)*'Batches'!$D$3:$D$302+(1-('Batches'!$A$3:$A$302=$A31)*('Batches'!$G$3:$G$302=$C31)*('Batches'!$D$3:$D$302&gt;0)*('Batches'!$H$3:$H$302&gt;0))*100000,1))))</f>
        <v/>
      </c>
      <c r="J31" s="16">
        <f>IF($A31="","",SUMIFS('Batches'!$H$3:$H$302,'Batches'!$A$3:$A$302,$A31,'Batches'!$G$3:$G$302,$C31,'Batches'!$D$3:$D$302,"&gt;0",'Batches'!$D$3:$D$302,"&lt;="&amp;('Settings'!$B$6+'Settings'!$B$7)))</f>
        <v/>
      </c>
      <c r="K31" s="19">
        <f>IF($A31="","",'Items'!$F31)</f>
        <v/>
      </c>
      <c r="L31" s="19">
        <f>IF($A31="","",$F31*$K31)</f>
        <v/>
      </c>
      <c r="M31" s="16">
        <f>IF($A31="","",IF(AND($H31="Below minimum",OR('Order list'!$B$4="",$D31='Order list'!$B$4)),IFERROR(MATCH($D31,Suppliers,0),99)*10000+ROW(),""))</f>
        <v/>
      </c>
    </row>
    <row r="32">
      <c r="A32" s="8">
        <f>IF('Items'!$A32="","",'Items'!$A32)</f>
        <v/>
      </c>
      <c r="B32" s="8">
        <f>IF($A32="","",'Items'!$B32)</f>
        <v/>
      </c>
      <c r="C32" s="8">
        <f>IF($A32="","",'Items'!$K32)</f>
        <v/>
      </c>
      <c r="D32" s="8">
        <f>IF($A32="","",'Items'!$E32)</f>
        <v/>
      </c>
      <c r="E32" s="8">
        <f>IF($A32="","",'Items'!$D32)</f>
        <v/>
      </c>
      <c r="F32" s="16">
        <f>IF($A32="","",SUMIFS('Batches'!$E$3:$E$302,'Batches'!$A$3:$A$302,$A32,'Batches'!$G$3:$G$302,$C32)+SUMIFS('Movements'!$F$3:$F$1002,'Movements'!$B$3:$B$1002,$A32,'Movements'!$E$3:$E$1002,"In",'Movements'!$H$3:$H$1002,$C32)-SUMIFS('Movements'!$F$3:$F$1002,'Movements'!$B$3:$B$1002,$A32,'Movements'!$E$3:$E$1002,"Out",'Movements'!$G$3:$G$1002,$C32)-SUMIFS('Movements'!$F$3:$F$1002,'Movements'!$B$3:$B$1002,$A32,'Movements'!$E$3:$E$1002,"Waste",'Movements'!$G$3:$G$1002,$C32)+SUMIFS('Movements'!$F$3:$F$1002,'Movements'!$B$3:$B$1002,$A32,'Movements'!$E$3:$E$1002,"Transfer",'Movements'!$H$3:$H$1002,$C32)-SUMIFS('Movements'!$F$3:$F$1002,'Movements'!$B$3:$B$1002,$A32,'Movements'!$E$3:$E$1002,"Transfer",'Movements'!$G$3:$G$1002,$C32))</f>
        <v/>
      </c>
      <c r="G32" s="15">
        <f>IF($A32="","",'Items'!$I32)</f>
        <v/>
      </c>
      <c r="H32" s="8">
        <f>IF(OR($A32="",$G32=""),"",IF($F32&lt;$G32,"Below minimum","OK"))</f>
        <v/>
      </c>
      <c r="I32" s="18">
        <f>IF($A32="","",IF(SUMPRODUCT(SMALL(('Batches'!$A$3:$A$302=$A32)*('Batches'!$G$3:$G$302=$C32)*('Batches'!$D$3:$D$302&gt;0)*('Batches'!$H$3:$H$302&gt;0)*'Batches'!$D$3:$D$302+(1-('Batches'!$A$3:$A$302=$A32)*('Batches'!$G$3:$G$302=$C32)*('Batches'!$D$3:$D$302&gt;0)*('Batches'!$H$3:$H$302&gt;0))*100000,1))&gt;=100000,"",SUMPRODUCT(SMALL(('Batches'!$A$3:$A$302=$A32)*('Batches'!$G$3:$G$302=$C32)*('Batches'!$D$3:$D$302&gt;0)*('Batches'!$H$3:$H$302&gt;0)*'Batches'!$D$3:$D$302+(1-('Batches'!$A$3:$A$302=$A32)*('Batches'!$G$3:$G$302=$C32)*('Batches'!$D$3:$D$302&gt;0)*('Batches'!$H$3:$H$302&gt;0))*100000,1))))</f>
        <v/>
      </c>
      <c r="J32" s="16">
        <f>IF($A32="","",SUMIFS('Batches'!$H$3:$H$302,'Batches'!$A$3:$A$302,$A32,'Batches'!$G$3:$G$302,$C32,'Batches'!$D$3:$D$302,"&gt;0",'Batches'!$D$3:$D$302,"&lt;="&amp;('Settings'!$B$6+'Settings'!$B$7)))</f>
        <v/>
      </c>
      <c r="K32" s="19">
        <f>IF($A32="","",'Items'!$F32)</f>
        <v/>
      </c>
      <c r="L32" s="19">
        <f>IF($A32="","",$F32*$K32)</f>
        <v/>
      </c>
      <c r="M32" s="16">
        <f>IF($A32="","",IF(AND($H32="Below minimum",OR('Order list'!$B$4="",$D32='Order list'!$B$4)),IFERROR(MATCH($D32,Suppliers,0),99)*10000+ROW(),""))</f>
        <v/>
      </c>
    </row>
    <row r="33">
      <c r="A33" s="8">
        <f>IF('Items'!$A33="","",'Items'!$A33)</f>
        <v/>
      </c>
      <c r="B33" s="8">
        <f>IF($A33="","",'Items'!$B33)</f>
        <v/>
      </c>
      <c r="C33" s="8">
        <f>IF($A33="","",'Items'!$K33)</f>
        <v/>
      </c>
      <c r="D33" s="8">
        <f>IF($A33="","",'Items'!$E33)</f>
        <v/>
      </c>
      <c r="E33" s="8">
        <f>IF($A33="","",'Items'!$D33)</f>
        <v/>
      </c>
      <c r="F33" s="16">
        <f>IF($A33="","",SUMIFS('Batches'!$E$3:$E$302,'Batches'!$A$3:$A$302,$A33,'Batches'!$G$3:$G$302,$C33)+SUMIFS('Movements'!$F$3:$F$1002,'Movements'!$B$3:$B$1002,$A33,'Movements'!$E$3:$E$1002,"In",'Movements'!$H$3:$H$1002,$C33)-SUMIFS('Movements'!$F$3:$F$1002,'Movements'!$B$3:$B$1002,$A33,'Movements'!$E$3:$E$1002,"Out",'Movements'!$G$3:$G$1002,$C33)-SUMIFS('Movements'!$F$3:$F$1002,'Movements'!$B$3:$B$1002,$A33,'Movements'!$E$3:$E$1002,"Waste",'Movements'!$G$3:$G$1002,$C33)+SUMIFS('Movements'!$F$3:$F$1002,'Movements'!$B$3:$B$1002,$A33,'Movements'!$E$3:$E$1002,"Transfer",'Movements'!$H$3:$H$1002,$C33)-SUMIFS('Movements'!$F$3:$F$1002,'Movements'!$B$3:$B$1002,$A33,'Movements'!$E$3:$E$1002,"Transfer",'Movements'!$G$3:$G$1002,$C33))</f>
        <v/>
      </c>
      <c r="G33" s="15">
        <f>IF($A33="","",'Items'!$I33)</f>
        <v/>
      </c>
      <c r="H33" s="8">
        <f>IF(OR($A33="",$G33=""),"",IF($F33&lt;$G33,"Below minimum","OK"))</f>
        <v/>
      </c>
      <c r="I33" s="18">
        <f>IF($A33="","",IF(SUMPRODUCT(SMALL(('Batches'!$A$3:$A$302=$A33)*('Batches'!$G$3:$G$302=$C33)*('Batches'!$D$3:$D$302&gt;0)*('Batches'!$H$3:$H$302&gt;0)*'Batches'!$D$3:$D$302+(1-('Batches'!$A$3:$A$302=$A33)*('Batches'!$G$3:$G$302=$C33)*('Batches'!$D$3:$D$302&gt;0)*('Batches'!$H$3:$H$302&gt;0))*100000,1))&gt;=100000,"",SUMPRODUCT(SMALL(('Batches'!$A$3:$A$302=$A33)*('Batches'!$G$3:$G$302=$C33)*('Batches'!$D$3:$D$302&gt;0)*('Batches'!$H$3:$H$302&gt;0)*'Batches'!$D$3:$D$302+(1-('Batches'!$A$3:$A$302=$A33)*('Batches'!$G$3:$G$302=$C33)*('Batches'!$D$3:$D$302&gt;0)*('Batches'!$H$3:$H$302&gt;0))*100000,1))))</f>
        <v/>
      </c>
      <c r="J33" s="16">
        <f>IF($A33="","",SUMIFS('Batches'!$H$3:$H$302,'Batches'!$A$3:$A$302,$A33,'Batches'!$G$3:$G$302,$C33,'Batches'!$D$3:$D$302,"&gt;0",'Batches'!$D$3:$D$302,"&lt;="&amp;('Settings'!$B$6+'Settings'!$B$7)))</f>
        <v/>
      </c>
      <c r="K33" s="19">
        <f>IF($A33="","",'Items'!$F33)</f>
        <v/>
      </c>
      <c r="L33" s="19">
        <f>IF($A33="","",$F33*$K33)</f>
        <v/>
      </c>
      <c r="M33" s="16">
        <f>IF($A33="","",IF(AND($H33="Below minimum",OR('Order list'!$B$4="",$D33='Order list'!$B$4)),IFERROR(MATCH($D33,Suppliers,0),99)*10000+ROW(),""))</f>
        <v/>
      </c>
    </row>
    <row r="34">
      <c r="A34" s="8">
        <f>IF('Items'!$A34="","",'Items'!$A34)</f>
        <v/>
      </c>
      <c r="B34" s="8">
        <f>IF($A34="","",'Items'!$B34)</f>
        <v/>
      </c>
      <c r="C34" s="8">
        <f>IF($A34="","",'Items'!$K34)</f>
        <v/>
      </c>
      <c r="D34" s="8">
        <f>IF($A34="","",'Items'!$E34)</f>
        <v/>
      </c>
      <c r="E34" s="8">
        <f>IF($A34="","",'Items'!$D34)</f>
        <v/>
      </c>
      <c r="F34" s="16">
        <f>IF($A34="","",SUMIFS('Batches'!$E$3:$E$302,'Batches'!$A$3:$A$302,$A34,'Batches'!$G$3:$G$302,$C34)+SUMIFS('Movements'!$F$3:$F$1002,'Movements'!$B$3:$B$1002,$A34,'Movements'!$E$3:$E$1002,"In",'Movements'!$H$3:$H$1002,$C34)-SUMIFS('Movements'!$F$3:$F$1002,'Movements'!$B$3:$B$1002,$A34,'Movements'!$E$3:$E$1002,"Out",'Movements'!$G$3:$G$1002,$C34)-SUMIFS('Movements'!$F$3:$F$1002,'Movements'!$B$3:$B$1002,$A34,'Movements'!$E$3:$E$1002,"Waste",'Movements'!$G$3:$G$1002,$C34)+SUMIFS('Movements'!$F$3:$F$1002,'Movements'!$B$3:$B$1002,$A34,'Movements'!$E$3:$E$1002,"Transfer",'Movements'!$H$3:$H$1002,$C34)-SUMIFS('Movements'!$F$3:$F$1002,'Movements'!$B$3:$B$1002,$A34,'Movements'!$E$3:$E$1002,"Transfer",'Movements'!$G$3:$G$1002,$C34))</f>
        <v/>
      </c>
      <c r="G34" s="15">
        <f>IF($A34="","",'Items'!$I34)</f>
        <v/>
      </c>
      <c r="H34" s="8">
        <f>IF(OR($A34="",$G34=""),"",IF($F34&lt;$G34,"Below minimum","OK"))</f>
        <v/>
      </c>
      <c r="I34" s="18">
        <f>IF($A34="","",IF(SUMPRODUCT(SMALL(('Batches'!$A$3:$A$302=$A34)*('Batches'!$G$3:$G$302=$C34)*('Batches'!$D$3:$D$302&gt;0)*('Batches'!$H$3:$H$302&gt;0)*'Batches'!$D$3:$D$302+(1-('Batches'!$A$3:$A$302=$A34)*('Batches'!$G$3:$G$302=$C34)*('Batches'!$D$3:$D$302&gt;0)*('Batches'!$H$3:$H$302&gt;0))*100000,1))&gt;=100000,"",SUMPRODUCT(SMALL(('Batches'!$A$3:$A$302=$A34)*('Batches'!$G$3:$G$302=$C34)*('Batches'!$D$3:$D$302&gt;0)*('Batches'!$H$3:$H$302&gt;0)*'Batches'!$D$3:$D$302+(1-('Batches'!$A$3:$A$302=$A34)*('Batches'!$G$3:$G$302=$C34)*('Batches'!$D$3:$D$302&gt;0)*('Batches'!$H$3:$H$302&gt;0))*100000,1))))</f>
        <v/>
      </c>
      <c r="J34" s="16">
        <f>IF($A34="","",SUMIFS('Batches'!$H$3:$H$302,'Batches'!$A$3:$A$302,$A34,'Batches'!$G$3:$G$302,$C34,'Batches'!$D$3:$D$302,"&gt;0",'Batches'!$D$3:$D$302,"&lt;="&amp;('Settings'!$B$6+'Settings'!$B$7)))</f>
        <v/>
      </c>
      <c r="K34" s="19">
        <f>IF($A34="","",'Items'!$F34)</f>
        <v/>
      </c>
      <c r="L34" s="19">
        <f>IF($A34="","",$F34*$K34)</f>
        <v/>
      </c>
      <c r="M34" s="16">
        <f>IF($A34="","",IF(AND($H34="Below minimum",OR('Order list'!$B$4="",$D34='Order list'!$B$4)),IFERROR(MATCH($D34,Suppliers,0),99)*10000+ROW(),""))</f>
        <v/>
      </c>
    </row>
    <row r="35">
      <c r="A35" s="8">
        <f>IF('Items'!$A35="","",'Items'!$A35)</f>
        <v/>
      </c>
      <c r="B35" s="8">
        <f>IF($A35="","",'Items'!$B35)</f>
        <v/>
      </c>
      <c r="C35" s="8">
        <f>IF($A35="","",'Items'!$K35)</f>
        <v/>
      </c>
      <c r="D35" s="8">
        <f>IF($A35="","",'Items'!$E35)</f>
        <v/>
      </c>
      <c r="E35" s="8">
        <f>IF($A35="","",'Items'!$D35)</f>
        <v/>
      </c>
      <c r="F35" s="16">
        <f>IF($A35="","",SUMIFS('Batches'!$E$3:$E$302,'Batches'!$A$3:$A$302,$A35,'Batches'!$G$3:$G$302,$C35)+SUMIFS('Movements'!$F$3:$F$1002,'Movements'!$B$3:$B$1002,$A35,'Movements'!$E$3:$E$1002,"In",'Movements'!$H$3:$H$1002,$C35)-SUMIFS('Movements'!$F$3:$F$1002,'Movements'!$B$3:$B$1002,$A35,'Movements'!$E$3:$E$1002,"Out",'Movements'!$G$3:$G$1002,$C35)-SUMIFS('Movements'!$F$3:$F$1002,'Movements'!$B$3:$B$1002,$A35,'Movements'!$E$3:$E$1002,"Waste",'Movements'!$G$3:$G$1002,$C35)+SUMIFS('Movements'!$F$3:$F$1002,'Movements'!$B$3:$B$1002,$A35,'Movements'!$E$3:$E$1002,"Transfer",'Movements'!$H$3:$H$1002,$C35)-SUMIFS('Movements'!$F$3:$F$1002,'Movements'!$B$3:$B$1002,$A35,'Movements'!$E$3:$E$1002,"Transfer",'Movements'!$G$3:$G$1002,$C35))</f>
        <v/>
      </c>
      <c r="G35" s="15">
        <f>IF($A35="","",'Items'!$I35)</f>
        <v/>
      </c>
      <c r="H35" s="8">
        <f>IF(OR($A35="",$G35=""),"",IF($F35&lt;$G35,"Below minimum","OK"))</f>
        <v/>
      </c>
      <c r="I35" s="18">
        <f>IF($A35="","",IF(SUMPRODUCT(SMALL(('Batches'!$A$3:$A$302=$A35)*('Batches'!$G$3:$G$302=$C35)*('Batches'!$D$3:$D$302&gt;0)*('Batches'!$H$3:$H$302&gt;0)*'Batches'!$D$3:$D$302+(1-('Batches'!$A$3:$A$302=$A35)*('Batches'!$G$3:$G$302=$C35)*('Batches'!$D$3:$D$302&gt;0)*('Batches'!$H$3:$H$302&gt;0))*100000,1))&gt;=100000,"",SUMPRODUCT(SMALL(('Batches'!$A$3:$A$302=$A35)*('Batches'!$G$3:$G$302=$C35)*('Batches'!$D$3:$D$302&gt;0)*('Batches'!$H$3:$H$302&gt;0)*'Batches'!$D$3:$D$302+(1-('Batches'!$A$3:$A$302=$A35)*('Batches'!$G$3:$G$302=$C35)*('Batches'!$D$3:$D$302&gt;0)*('Batches'!$H$3:$H$302&gt;0))*100000,1))))</f>
        <v/>
      </c>
      <c r="J35" s="16">
        <f>IF($A35="","",SUMIFS('Batches'!$H$3:$H$302,'Batches'!$A$3:$A$302,$A35,'Batches'!$G$3:$G$302,$C35,'Batches'!$D$3:$D$302,"&gt;0",'Batches'!$D$3:$D$302,"&lt;="&amp;('Settings'!$B$6+'Settings'!$B$7)))</f>
        <v/>
      </c>
      <c r="K35" s="19">
        <f>IF($A35="","",'Items'!$F35)</f>
        <v/>
      </c>
      <c r="L35" s="19">
        <f>IF($A35="","",$F35*$K35)</f>
        <v/>
      </c>
      <c r="M35" s="16">
        <f>IF($A35="","",IF(AND($H35="Below minimum",OR('Order list'!$B$4="",$D35='Order list'!$B$4)),IFERROR(MATCH($D35,Suppliers,0),99)*10000+ROW(),""))</f>
        <v/>
      </c>
    </row>
    <row r="36">
      <c r="A36" s="8">
        <f>IF('Items'!$A36="","",'Items'!$A36)</f>
        <v/>
      </c>
      <c r="B36" s="8">
        <f>IF($A36="","",'Items'!$B36)</f>
        <v/>
      </c>
      <c r="C36" s="8">
        <f>IF($A36="","",'Items'!$K36)</f>
        <v/>
      </c>
      <c r="D36" s="8">
        <f>IF($A36="","",'Items'!$E36)</f>
        <v/>
      </c>
      <c r="E36" s="8">
        <f>IF($A36="","",'Items'!$D36)</f>
        <v/>
      </c>
      <c r="F36" s="16">
        <f>IF($A36="","",SUMIFS('Batches'!$E$3:$E$302,'Batches'!$A$3:$A$302,$A36,'Batches'!$G$3:$G$302,$C36)+SUMIFS('Movements'!$F$3:$F$1002,'Movements'!$B$3:$B$1002,$A36,'Movements'!$E$3:$E$1002,"In",'Movements'!$H$3:$H$1002,$C36)-SUMIFS('Movements'!$F$3:$F$1002,'Movements'!$B$3:$B$1002,$A36,'Movements'!$E$3:$E$1002,"Out",'Movements'!$G$3:$G$1002,$C36)-SUMIFS('Movements'!$F$3:$F$1002,'Movements'!$B$3:$B$1002,$A36,'Movements'!$E$3:$E$1002,"Waste",'Movements'!$G$3:$G$1002,$C36)+SUMIFS('Movements'!$F$3:$F$1002,'Movements'!$B$3:$B$1002,$A36,'Movements'!$E$3:$E$1002,"Transfer",'Movements'!$H$3:$H$1002,$C36)-SUMIFS('Movements'!$F$3:$F$1002,'Movements'!$B$3:$B$1002,$A36,'Movements'!$E$3:$E$1002,"Transfer",'Movements'!$G$3:$G$1002,$C36))</f>
        <v/>
      </c>
      <c r="G36" s="15">
        <f>IF($A36="","",'Items'!$I36)</f>
        <v/>
      </c>
      <c r="H36" s="8">
        <f>IF(OR($A36="",$G36=""),"",IF($F36&lt;$G36,"Below minimum","OK"))</f>
        <v/>
      </c>
      <c r="I36" s="18">
        <f>IF($A36="","",IF(SUMPRODUCT(SMALL(('Batches'!$A$3:$A$302=$A36)*('Batches'!$G$3:$G$302=$C36)*('Batches'!$D$3:$D$302&gt;0)*('Batches'!$H$3:$H$302&gt;0)*'Batches'!$D$3:$D$302+(1-('Batches'!$A$3:$A$302=$A36)*('Batches'!$G$3:$G$302=$C36)*('Batches'!$D$3:$D$302&gt;0)*('Batches'!$H$3:$H$302&gt;0))*100000,1))&gt;=100000,"",SUMPRODUCT(SMALL(('Batches'!$A$3:$A$302=$A36)*('Batches'!$G$3:$G$302=$C36)*('Batches'!$D$3:$D$302&gt;0)*('Batches'!$H$3:$H$302&gt;0)*'Batches'!$D$3:$D$302+(1-('Batches'!$A$3:$A$302=$A36)*('Batches'!$G$3:$G$302=$C36)*('Batches'!$D$3:$D$302&gt;0)*('Batches'!$H$3:$H$302&gt;0))*100000,1))))</f>
        <v/>
      </c>
      <c r="J36" s="16">
        <f>IF($A36="","",SUMIFS('Batches'!$H$3:$H$302,'Batches'!$A$3:$A$302,$A36,'Batches'!$G$3:$G$302,$C36,'Batches'!$D$3:$D$302,"&gt;0",'Batches'!$D$3:$D$302,"&lt;="&amp;('Settings'!$B$6+'Settings'!$B$7)))</f>
        <v/>
      </c>
      <c r="K36" s="19">
        <f>IF($A36="","",'Items'!$F36)</f>
        <v/>
      </c>
      <c r="L36" s="19">
        <f>IF($A36="","",$F36*$K36)</f>
        <v/>
      </c>
      <c r="M36" s="16">
        <f>IF($A36="","",IF(AND($H36="Below minimum",OR('Order list'!$B$4="",$D36='Order list'!$B$4)),IFERROR(MATCH($D36,Suppliers,0),99)*10000+ROW(),""))</f>
        <v/>
      </c>
    </row>
    <row r="37">
      <c r="A37" s="8">
        <f>IF('Items'!$A37="","",'Items'!$A37)</f>
        <v/>
      </c>
      <c r="B37" s="8">
        <f>IF($A37="","",'Items'!$B37)</f>
        <v/>
      </c>
      <c r="C37" s="8">
        <f>IF($A37="","",'Items'!$K37)</f>
        <v/>
      </c>
      <c r="D37" s="8">
        <f>IF($A37="","",'Items'!$E37)</f>
        <v/>
      </c>
      <c r="E37" s="8">
        <f>IF($A37="","",'Items'!$D37)</f>
        <v/>
      </c>
      <c r="F37" s="16">
        <f>IF($A37="","",SUMIFS('Batches'!$E$3:$E$302,'Batches'!$A$3:$A$302,$A37,'Batches'!$G$3:$G$302,$C37)+SUMIFS('Movements'!$F$3:$F$1002,'Movements'!$B$3:$B$1002,$A37,'Movements'!$E$3:$E$1002,"In",'Movements'!$H$3:$H$1002,$C37)-SUMIFS('Movements'!$F$3:$F$1002,'Movements'!$B$3:$B$1002,$A37,'Movements'!$E$3:$E$1002,"Out",'Movements'!$G$3:$G$1002,$C37)-SUMIFS('Movements'!$F$3:$F$1002,'Movements'!$B$3:$B$1002,$A37,'Movements'!$E$3:$E$1002,"Waste",'Movements'!$G$3:$G$1002,$C37)+SUMIFS('Movements'!$F$3:$F$1002,'Movements'!$B$3:$B$1002,$A37,'Movements'!$E$3:$E$1002,"Transfer",'Movements'!$H$3:$H$1002,$C37)-SUMIFS('Movements'!$F$3:$F$1002,'Movements'!$B$3:$B$1002,$A37,'Movements'!$E$3:$E$1002,"Transfer",'Movements'!$G$3:$G$1002,$C37))</f>
        <v/>
      </c>
      <c r="G37" s="15">
        <f>IF($A37="","",'Items'!$I37)</f>
        <v/>
      </c>
      <c r="H37" s="8">
        <f>IF(OR($A37="",$G37=""),"",IF($F37&lt;$G37,"Below minimum","OK"))</f>
        <v/>
      </c>
      <c r="I37" s="18">
        <f>IF($A37="","",IF(SUMPRODUCT(SMALL(('Batches'!$A$3:$A$302=$A37)*('Batches'!$G$3:$G$302=$C37)*('Batches'!$D$3:$D$302&gt;0)*('Batches'!$H$3:$H$302&gt;0)*'Batches'!$D$3:$D$302+(1-('Batches'!$A$3:$A$302=$A37)*('Batches'!$G$3:$G$302=$C37)*('Batches'!$D$3:$D$302&gt;0)*('Batches'!$H$3:$H$302&gt;0))*100000,1))&gt;=100000,"",SUMPRODUCT(SMALL(('Batches'!$A$3:$A$302=$A37)*('Batches'!$G$3:$G$302=$C37)*('Batches'!$D$3:$D$302&gt;0)*('Batches'!$H$3:$H$302&gt;0)*'Batches'!$D$3:$D$302+(1-('Batches'!$A$3:$A$302=$A37)*('Batches'!$G$3:$G$302=$C37)*('Batches'!$D$3:$D$302&gt;0)*('Batches'!$H$3:$H$302&gt;0))*100000,1))))</f>
        <v/>
      </c>
      <c r="J37" s="16">
        <f>IF($A37="","",SUMIFS('Batches'!$H$3:$H$302,'Batches'!$A$3:$A$302,$A37,'Batches'!$G$3:$G$302,$C37,'Batches'!$D$3:$D$302,"&gt;0",'Batches'!$D$3:$D$302,"&lt;="&amp;('Settings'!$B$6+'Settings'!$B$7)))</f>
        <v/>
      </c>
      <c r="K37" s="19">
        <f>IF($A37="","",'Items'!$F37)</f>
        <v/>
      </c>
      <c r="L37" s="19">
        <f>IF($A37="","",$F37*$K37)</f>
        <v/>
      </c>
      <c r="M37" s="16">
        <f>IF($A37="","",IF(AND($H37="Below minimum",OR('Order list'!$B$4="",$D37='Order list'!$B$4)),IFERROR(MATCH($D37,Suppliers,0),99)*10000+ROW(),""))</f>
        <v/>
      </c>
    </row>
    <row r="38">
      <c r="A38" s="8">
        <f>IF('Items'!$A38="","",'Items'!$A38)</f>
        <v/>
      </c>
      <c r="B38" s="8">
        <f>IF($A38="","",'Items'!$B38)</f>
        <v/>
      </c>
      <c r="C38" s="8">
        <f>IF($A38="","",'Items'!$K38)</f>
        <v/>
      </c>
      <c r="D38" s="8">
        <f>IF($A38="","",'Items'!$E38)</f>
        <v/>
      </c>
      <c r="E38" s="8">
        <f>IF($A38="","",'Items'!$D38)</f>
        <v/>
      </c>
      <c r="F38" s="16">
        <f>IF($A38="","",SUMIFS('Batches'!$E$3:$E$302,'Batches'!$A$3:$A$302,$A38,'Batches'!$G$3:$G$302,$C38)+SUMIFS('Movements'!$F$3:$F$1002,'Movements'!$B$3:$B$1002,$A38,'Movements'!$E$3:$E$1002,"In",'Movements'!$H$3:$H$1002,$C38)-SUMIFS('Movements'!$F$3:$F$1002,'Movements'!$B$3:$B$1002,$A38,'Movements'!$E$3:$E$1002,"Out",'Movements'!$G$3:$G$1002,$C38)-SUMIFS('Movements'!$F$3:$F$1002,'Movements'!$B$3:$B$1002,$A38,'Movements'!$E$3:$E$1002,"Waste",'Movements'!$G$3:$G$1002,$C38)+SUMIFS('Movements'!$F$3:$F$1002,'Movements'!$B$3:$B$1002,$A38,'Movements'!$E$3:$E$1002,"Transfer",'Movements'!$H$3:$H$1002,$C38)-SUMIFS('Movements'!$F$3:$F$1002,'Movements'!$B$3:$B$1002,$A38,'Movements'!$E$3:$E$1002,"Transfer",'Movements'!$G$3:$G$1002,$C38))</f>
        <v/>
      </c>
      <c r="G38" s="15">
        <f>IF($A38="","",'Items'!$I38)</f>
        <v/>
      </c>
      <c r="H38" s="8">
        <f>IF(OR($A38="",$G38=""),"",IF($F38&lt;$G38,"Below minimum","OK"))</f>
        <v/>
      </c>
      <c r="I38" s="18">
        <f>IF($A38="","",IF(SUMPRODUCT(SMALL(('Batches'!$A$3:$A$302=$A38)*('Batches'!$G$3:$G$302=$C38)*('Batches'!$D$3:$D$302&gt;0)*('Batches'!$H$3:$H$302&gt;0)*'Batches'!$D$3:$D$302+(1-('Batches'!$A$3:$A$302=$A38)*('Batches'!$G$3:$G$302=$C38)*('Batches'!$D$3:$D$302&gt;0)*('Batches'!$H$3:$H$302&gt;0))*100000,1))&gt;=100000,"",SUMPRODUCT(SMALL(('Batches'!$A$3:$A$302=$A38)*('Batches'!$G$3:$G$302=$C38)*('Batches'!$D$3:$D$302&gt;0)*('Batches'!$H$3:$H$302&gt;0)*'Batches'!$D$3:$D$302+(1-('Batches'!$A$3:$A$302=$A38)*('Batches'!$G$3:$G$302=$C38)*('Batches'!$D$3:$D$302&gt;0)*('Batches'!$H$3:$H$302&gt;0))*100000,1))))</f>
        <v/>
      </c>
      <c r="J38" s="16">
        <f>IF($A38="","",SUMIFS('Batches'!$H$3:$H$302,'Batches'!$A$3:$A$302,$A38,'Batches'!$G$3:$G$302,$C38,'Batches'!$D$3:$D$302,"&gt;0",'Batches'!$D$3:$D$302,"&lt;="&amp;('Settings'!$B$6+'Settings'!$B$7)))</f>
        <v/>
      </c>
      <c r="K38" s="19">
        <f>IF($A38="","",'Items'!$F38)</f>
        <v/>
      </c>
      <c r="L38" s="19">
        <f>IF($A38="","",$F38*$K38)</f>
        <v/>
      </c>
      <c r="M38" s="16">
        <f>IF($A38="","",IF(AND($H38="Below minimum",OR('Order list'!$B$4="",$D38='Order list'!$B$4)),IFERROR(MATCH($D38,Suppliers,0),99)*10000+ROW(),""))</f>
        <v/>
      </c>
    </row>
    <row r="39">
      <c r="A39" s="8">
        <f>IF('Items'!$A39="","",'Items'!$A39)</f>
        <v/>
      </c>
      <c r="B39" s="8">
        <f>IF($A39="","",'Items'!$B39)</f>
        <v/>
      </c>
      <c r="C39" s="8">
        <f>IF($A39="","",'Items'!$K39)</f>
        <v/>
      </c>
      <c r="D39" s="8">
        <f>IF($A39="","",'Items'!$E39)</f>
        <v/>
      </c>
      <c r="E39" s="8">
        <f>IF($A39="","",'Items'!$D39)</f>
        <v/>
      </c>
      <c r="F39" s="16">
        <f>IF($A39="","",SUMIFS('Batches'!$E$3:$E$302,'Batches'!$A$3:$A$302,$A39,'Batches'!$G$3:$G$302,$C39)+SUMIFS('Movements'!$F$3:$F$1002,'Movements'!$B$3:$B$1002,$A39,'Movements'!$E$3:$E$1002,"In",'Movements'!$H$3:$H$1002,$C39)-SUMIFS('Movements'!$F$3:$F$1002,'Movements'!$B$3:$B$1002,$A39,'Movements'!$E$3:$E$1002,"Out",'Movements'!$G$3:$G$1002,$C39)-SUMIFS('Movements'!$F$3:$F$1002,'Movements'!$B$3:$B$1002,$A39,'Movements'!$E$3:$E$1002,"Waste",'Movements'!$G$3:$G$1002,$C39)+SUMIFS('Movements'!$F$3:$F$1002,'Movements'!$B$3:$B$1002,$A39,'Movements'!$E$3:$E$1002,"Transfer",'Movements'!$H$3:$H$1002,$C39)-SUMIFS('Movements'!$F$3:$F$1002,'Movements'!$B$3:$B$1002,$A39,'Movements'!$E$3:$E$1002,"Transfer",'Movements'!$G$3:$G$1002,$C39))</f>
        <v/>
      </c>
      <c r="G39" s="15">
        <f>IF($A39="","",'Items'!$I39)</f>
        <v/>
      </c>
      <c r="H39" s="8">
        <f>IF(OR($A39="",$G39=""),"",IF($F39&lt;$G39,"Below minimum","OK"))</f>
        <v/>
      </c>
      <c r="I39" s="18">
        <f>IF($A39="","",IF(SUMPRODUCT(SMALL(('Batches'!$A$3:$A$302=$A39)*('Batches'!$G$3:$G$302=$C39)*('Batches'!$D$3:$D$302&gt;0)*('Batches'!$H$3:$H$302&gt;0)*'Batches'!$D$3:$D$302+(1-('Batches'!$A$3:$A$302=$A39)*('Batches'!$G$3:$G$302=$C39)*('Batches'!$D$3:$D$302&gt;0)*('Batches'!$H$3:$H$302&gt;0))*100000,1))&gt;=100000,"",SUMPRODUCT(SMALL(('Batches'!$A$3:$A$302=$A39)*('Batches'!$G$3:$G$302=$C39)*('Batches'!$D$3:$D$302&gt;0)*('Batches'!$H$3:$H$302&gt;0)*'Batches'!$D$3:$D$302+(1-('Batches'!$A$3:$A$302=$A39)*('Batches'!$G$3:$G$302=$C39)*('Batches'!$D$3:$D$302&gt;0)*('Batches'!$H$3:$H$302&gt;0))*100000,1))))</f>
        <v/>
      </c>
      <c r="J39" s="16">
        <f>IF($A39="","",SUMIFS('Batches'!$H$3:$H$302,'Batches'!$A$3:$A$302,$A39,'Batches'!$G$3:$G$302,$C39,'Batches'!$D$3:$D$302,"&gt;0",'Batches'!$D$3:$D$302,"&lt;="&amp;('Settings'!$B$6+'Settings'!$B$7)))</f>
        <v/>
      </c>
      <c r="K39" s="19">
        <f>IF($A39="","",'Items'!$F39)</f>
        <v/>
      </c>
      <c r="L39" s="19">
        <f>IF($A39="","",$F39*$K39)</f>
        <v/>
      </c>
      <c r="M39" s="16">
        <f>IF($A39="","",IF(AND($H39="Below minimum",OR('Order list'!$B$4="",$D39='Order list'!$B$4)),IFERROR(MATCH($D39,Suppliers,0),99)*10000+ROW(),""))</f>
        <v/>
      </c>
    </row>
    <row r="40">
      <c r="A40" s="8">
        <f>IF('Items'!$A40="","",'Items'!$A40)</f>
        <v/>
      </c>
      <c r="B40" s="8">
        <f>IF($A40="","",'Items'!$B40)</f>
        <v/>
      </c>
      <c r="C40" s="8">
        <f>IF($A40="","",'Items'!$K40)</f>
        <v/>
      </c>
      <c r="D40" s="8">
        <f>IF($A40="","",'Items'!$E40)</f>
        <v/>
      </c>
      <c r="E40" s="8">
        <f>IF($A40="","",'Items'!$D40)</f>
        <v/>
      </c>
      <c r="F40" s="16">
        <f>IF($A40="","",SUMIFS('Batches'!$E$3:$E$302,'Batches'!$A$3:$A$302,$A40,'Batches'!$G$3:$G$302,$C40)+SUMIFS('Movements'!$F$3:$F$1002,'Movements'!$B$3:$B$1002,$A40,'Movements'!$E$3:$E$1002,"In",'Movements'!$H$3:$H$1002,$C40)-SUMIFS('Movements'!$F$3:$F$1002,'Movements'!$B$3:$B$1002,$A40,'Movements'!$E$3:$E$1002,"Out",'Movements'!$G$3:$G$1002,$C40)-SUMIFS('Movements'!$F$3:$F$1002,'Movements'!$B$3:$B$1002,$A40,'Movements'!$E$3:$E$1002,"Waste",'Movements'!$G$3:$G$1002,$C40)+SUMIFS('Movements'!$F$3:$F$1002,'Movements'!$B$3:$B$1002,$A40,'Movements'!$E$3:$E$1002,"Transfer",'Movements'!$H$3:$H$1002,$C40)-SUMIFS('Movements'!$F$3:$F$1002,'Movements'!$B$3:$B$1002,$A40,'Movements'!$E$3:$E$1002,"Transfer",'Movements'!$G$3:$G$1002,$C40))</f>
        <v/>
      </c>
      <c r="G40" s="15">
        <f>IF($A40="","",'Items'!$I40)</f>
        <v/>
      </c>
      <c r="H40" s="8">
        <f>IF(OR($A40="",$G40=""),"",IF($F40&lt;$G40,"Below minimum","OK"))</f>
        <v/>
      </c>
      <c r="I40" s="18">
        <f>IF($A40="","",IF(SUMPRODUCT(SMALL(('Batches'!$A$3:$A$302=$A40)*('Batches'!$G$3:$G$302=$C40)*('Batches'!$D$3:$D$302&gt;0)*('Batches'!$H$3:$H$302&gt;0)*'Batches'!$D$3:$D$302+(1-('Batches'!$A$3:$A$302=$A40)*('Batches'!$G$3:$G$302=$C40)*('Batches'!$D$3:$D$302&gt;0)*('Batches'!$H$3:$H$302&gt;0))*100000,1))&gt;=100000,"",SUMPRODUCT(SMALL(('Batches'!$A$3:$A$302=$A40)*('Batches'!$G$3:$G$302=$C40)*('Batches'!$D$3:$D$302&gt;0)*('Batches'!$H$3:$H$302&gt;0)*'Batches'!$D$3:$D$302+(1-('Batches'!$A$3:$A$302=$A40)*('Batches'!$G$3:$G$302=$C40)*('Batches'!$D$3:$D$302&gt;0)*('Batches'!$H$3:$H$302&gt;0))*100000,1))))</f>
        <v/>
      </c>
      <c r="J40" s="16">
        <f>IF($A40="","",SUMIFS('Batches'!$H$3:$H$302,'Batches'!$A$3:$A$302,$A40,'Batches'!$G$3:$G$302,$C40,'Batches'!$D$3:$D$302,"&gt;0",'Batches'!$D$3:$D$302,"&lt;="&amp;('Settings'!$B$6+'Settings'!$B$7)))</f>
        <v/>
      </c>
      <c r="K40" s="19">
        <f>IF($A40="","",'Items'!$F40)</f>
        <v/>
      </c>
      <c r="L40" s="19">
        <f>IF($A40="","",$F40*$K40)</f>
        <v/>
      </c>
      <c r="M40" s="16">
        <f>IF($A40="","",IF(AND($H40="Below minimum",OR('Order list'!$B$4="",$D40='Order list'!$B$4)),IFERROR(MATCH($D40,Suppliers,0),99)*10000+ROW(),""))</f>
        <v/>
      </c>
    </row>
    <row r="41">
      <c r="A41" s="8">
        <f>IF('Items'!$A41="","",'Items'!$A41)</f>
        <v/>
      </c>
      <c r="B41" s="8">
        <f>IF($A41="","",'Items'!$B41)</f>
        <v/>
      </c>
      <c r="C41" s="8">
        <f>IF($A41="","",'Items'!$K41)</f>
        <v/>
      </c>
      <c r="D41" s="8">
        <f>IF($A41="","",'Items'!$E41)</f>
        <v/>
      </c>
      <c r="E41" s="8">
        <f>IF($A41="","",'Items'!$D41)</f>
        <v/>
      </c>
      <c r="F41" s="16">
        <f>IF($A41="","",SUMIFS('Batches'!$E$3:$E$302,'Batches'!$A$3:$A$302,$A41,'Batches'!$G$3:$G$302,$C41)+SUMIFS('Movements'!$F$3:$F$1002,'Movements'!$B$3:$B$1002,$A41,'Movements'!$E$3:$E$1002,"In",'Movements'!$H$3:$H$1002,$C41)-SUMIFS('Movements'!$F$3:$F$1002,'Movements'!$B$3:$B$1002,$A41,'Movements'!$E$3:$E$1002,"Out",'Movements'!$G$3:$G$1002,$C41)-SUMIFS('Movements'!$F$3:$F$1002,'Movements'!$B$3:$B$1002,$A41,'Movements'!$E$3:$E$1002,"Waste",'Movements'!$G$3:$G$1002,$C41)+SUMIFS('Movements'!$F$3:$F$1002,'Movements'!$B$3:$B$1002,$A41,'Movements'!$E$3:$E$1002,"Transfer",'Movements'!$H$3:$H$1002,$C41)-SUMIFS('Movements'!$F$3:$F$1002,'Movements'!$B$3:$B$1002,$A41,'Movements'!$E$3:$E$1002,"Transfer",'Movements'!$G$3:$G$1002,$C41))</f>
        <v/>
      </c>
      <c r="G41" s="15">
        <f>IF($A41="","",'Items'!$I41)</f>
        <v/>
      </c>
      <c r="H41" s="8">
        <f>IF(OR($A41="",$G41=""),"",IF($F41&lt;$G41,"Below minimum","OK"))</f>
        <v/>
      </c>
      <c r="I41" s="18">
        <f>IF($A41="","",IF(SUMPRODUCT(SMALL(('Batches'!$A$3:$A$302=$A41)*('Batches'!$G$3:$G$302=$C41)*('Batches'!$D$3:$D$302&gt;0)*('Batches'!$H$3:$H$302&gt;0)*'Batches'!$D$3:$D$302+(1-('Batches'!$A$3:$A$302=$A41)*('Batches'!$G$3:$G$302=$C41)*('Batches'!$D$3:$D$302&gt;0)*('Batches'!$H$3:$H$302&gt;0))*100000,1))&gt;=100000,"",SUMPRODUCT(SMALL(('Batches'!$A$3:$A$302=$A41)*('Batches'!$G$3:$G$302=$C41)*('Batches'!$D$3:$D$302&gt;0)*('Batches'!$H$3:$H$302&gt;0)*'Batches'!$D$3:$D$302+(1-('Batches'!$A$3:$A$302=$A41)*('Batches'!$G$3:$G$302=$C41)*('Batches'!$D$3:$D$302&gt;0)*('Batches'!$H$3:$H$302&gt;0))*100000,1))))</f>
        <v/>
      </c>
      <c r="J41" s="16">
        <f>IF($A41="","",SUMIFS('Batches'!$H$3:$H$302,'Batches'!$A$3:$A$302,$A41,'Batches'!$G$3:$G$302,$C41,'Batches'!$D$3:$D$302,"&gt;0",'Batches'!$D$3:$D$302,"&lt;="&amp;('Settings'!$B$6+'Settings'!$B$7)))</f>
        <v/>
      </c>
      <c r="K41" s="19">
        <f>IF($A41="","",'Items'!$F41)</f>
        <v/>
      </c>
      <c r="L41" s="19">
        <f>IF($A41="","",$F41*$K41)</f>
        <v/>
      </c>
      <c r="M41" s="16">
        <f>IF($A41="","",IF(AND($H41="Below minimum",OR('Order list'!$B$4="",$D41='Order list'!$B$4)),IFERROR(MATCH($D41,Suppliers,0),99)*10000+ROW(),""))</f>
        <v/>
      </c>
    </row>
    <row r="42">
      <c r="A42" s="8">
        <f>IF('Items'!$A42="","",'Items'!$A42)</f>
        <v/>
      </c>
      <c r="B42" s="8">
        <f>IF($A42="","",'Items'!$B42)</f>
        <v/>
      </c>
      <c r="C42" s="8">
        <f>IF($A42="","",'Items'!$K42)</f>
        <v/>
      </c>
      <c r="D42" s="8">
        <f>IF($A42="","",'Items'!$E42)</f>
        <v/>
      </c>
      <c r="E42" s="8">
        <f>IF($A42="","",'Items'!$D42)</f>
        <v/>
      </c>
      <c r="F42" s="16">
        <f>IF($A42="","",SUMIFS('Batches'!$E$3:$E$302,'Batches'!$A$3:$A$302,$A42,'Batches'!$G$3:$G$302,$C42)+SUMIFS('Movements'!$F$3:$F$1002,'Movements'!$B$3:$B$1002,$A42,'Movements'!$E$3:$E$1002,"In",'Movements'!$H$3:$H$1002,$C42)-SUMIFS('Movements'!$F$3:$F$1002,'Movements'!$B$3:$B$1002,$A42,'Movements'!$E$3:$E$1002,"Out",'Movements'!$G$3:$G$1002,$C42)-SUMIFS('Movements'!$F$3:$F$1002,'Movements'!$B$3:$B$1002,$A42,'Movements'!$E$3:$E$1002,"Waste",'Movements'!$G$3:$G$1002,$C42)+SUMIFS('Movements'!$F$3:$F$1002,'Movements'!$B$3:$B$1002,$A42,'Movements'!$E$3:$E$1002,"Transfer",'Movements'!$H$3:$H$1002,$C42)-SUMIFS('Movements'!$F$3:$F$1002,'Movements'!$B$3:$B$1002,$A42,'Movements'!$E$3:$E$1002,"Transfer",'Movements'!$G$3:$G$1002,$C42))</f>
        <v/>
      </c>
      <c r="G42" s="15">
        <f>IF($A42="","",'Items'!$I42)</f>
        <v/>
      </c>
      <c r="H42" s="8">
        <f>IF(OR($A42="",$G42=""),"",IF($F42&lt;$G42,"Below minimum","OK"))</f>
        <v/>
      </c>
      <c r="I42" s="18">
        <f>IF($A42="","",IF(SUMPRODUCT(SMALL(('Batches'!$A$3:$A$302=$A42)*('Batches'!$G$3:$G$302=$C42)*('Batches'!$D$3:$D$302&gt;0)*('Batches'!$H$3:$H$302&gt;0)*'Batches'!$D$3:$D$302+(1-('Batches'!$A$3:$A$302=$A42)*('Batches'!$G$3:$G$302=$C42)*('Batches'!$D$3:$D$302&gt;0)*('Batches'!$H$3:$H$302&gt;0))*100000,1))&gt;=100000,"",SUMPRODUCT(SMALL(('Batches'!$A$3:$A$302=$A42)*('Batches'!$G$3:$G$302=$C42)*('Batches'!$D$3:$D$302&gt;0)*('Batches'!$H$3:$H$302&gt;0)*'Batches'!$D$3:$D$302+(1-('Batches'!$A$3:$A$302=$A42)*('Batches'!$G$3:$G$302=$C42)*('Batches'!$D$3:$D$302&gt;0)*('Batches'!$H$3:$H$302&gt;0))*100000,1))))</f>
        <v/>
      </c>
      <c r="J42" s="16">
        <f>IF($A42="","",SUMIFS('Batches'!$H$3:$H$302,'Batches'!$A$3:$A$302,$A42,'Batches'!$G$3:$G$302,$C42,'Batches'!$D$3:$D$302,"&gt;0",'Batches'!$D$3:$D$302,"&lt;="&amp;('Settings'!$B$6+'Settings'!$B$7)))</f>
        <v/>
      </c>
      <c r="K42" s="19">
        <f>IF($A42="","",'Items'!$F42)</f>
        <v/>
      </c>
      <c r="L42" s="19">
        <f>IF($A42="","",$F42*$K42)</f>
        <v/>
      </c>
      <c r="M42" s="16">
        <f>IF($A42="","",IF(AND($H42="Below minimum",OR('Order list'!$B$4="",$D42='Order list'!$B$4)),IFERROR(MATCH($D42,Suppliers,0),99)*10000+ROW(),""))</f>
        <v/>
      </c>
    </row>
    <row r="43">
      <c r="A43" s="8">
        <f>IF('Items'!$A43="","",'Items'!$A43)</f>
        <v/>
      </c>
      <c r="B43" s="8">
        <f>IF($A43="","",'Items'!$B43)</f>
        <v/>
      </c>
      <c r="C43" s="8">
        <f>IF($A43="","",'Items'!$K43)</f>
        <v/>
      </c>
      <c r="D43" s="8">
        <f>IF($A43="","",'Items'!$E43)</f>
        <v/>
      </c>
      <c r="E43" s="8">
        <f>IF($A43="","",'Items'!$D43)</f>
        <v/>
      </c>
      <c r="F43" s="16">
        <f>IF($A43="","",SUMIFS('Batches'!$E$3:$E$302,'Batches'!$A$3:$A$302,$A43,'Batches'!$G$3:$G$302,$C43)+SUMIFS('Movements'!$F$3:$F$1002,'Movements'!$B$3:$B$1002,$A43,'Movements'!$E$3:$E$1002,"In",'Movements'!$H$3:$H$1002,$C43)-SUMIFS('Movements'!$F$3:$F$1002,'Movements'!$B$3:$B$1002,$A43,'Movements'!$E$3:$E$1002,"Out",'Movements'!$G$3:$G$1002,$C43)-SUMIFS('Movements'!$F$3:$F$1002,'Movements'!$B$3:$B$1002,$A43,'Movements'!$E$3:$E$1002,"Waste",'Movements'!$G$3:$G$1002,$C43)+SUMIFS('Movements'!$F$3:$F$1002,'Movements'!$B$3:$B$1002,$A43,'Movements'!$E$3:$E$1002,"Transfer",'Movements'!$H$3:$H$1002,$C43)-SUMIFS('Movements'!$F$3:$F$1002,'Movements'!$B$3:$B$1002,$A43,'Movements'!$E$3:$E$1002,"Transfer",'Movements'!$G$3:$G$1002,$C43))</f>
        <v/>
      </c>
      <c r="G43" s="15">
        <f>IF($A43="","",'Items'!$I43)</f>
        <v/>
      </c>
      <c r="H43" s="8">
        <f>IF(OR($A43="",$G43=""),"",IF($F43&lt;$G43,"Below minimum","OK"))</f>
        <v/>
      </c>
      <c r="I43" s="18">
        <f>IF($A43="","",IF(SUMPRODUCT(SMALL(('Batches'!$A$3:$A$302=$A43)*('Batches'!$G$3:$G$302=$C43)*('Batches'!$D$3:$D$302&gt;0)*('Batches'!$H$3:$H$302&gt;0)*'Batches'!$D$3:$D$302+(1-('Batches'!$A$3:$A$302=$A43)*('Batches'!$G$3:$G$302=$C43)*('Batches'!$D$3:$D$302&gt;0)*('Batches'!$H$3:$H$302&gt;0))*100000,1))&gt;=100000,"",SUMPRODUCT(SMALL(('Batches'!$A$3:$A$302=$A43)*('Batches'!$G$3:$G$302=$C43)*('Batches'!$D$3:$D$302&gt;0)*('Batches'!$H$3:$H$302&gt;0)*'Batches'!$D$3:$D$302+(1-('Batches'!$A$3:$A$302=$A43)*('Batches'!$G$3:$G$302=$C43)*('Batches'!$D$3:$D$302&gt;0)*('Batches'!$H$3:$H$302&gt;0))*100000,1))))</f>
        <v/>
      </c>
      <c r="J43" s="16">
        <f>IF($A43="","",SUMIFS('Batches'!$H$3:$H$302,'Batches'!$A$3:$A$302,$A43,'Batches'!$G$3:$G$302,$C43,'Batches'!$D$3:$D$302,"&gt;0",'Batches'!$D$3:$D$302,"&lt;="&amp;('Settings'!$B$6+'Settings'!$B$7)))</f>
        <v/>
      </c>
      <c r="K43" s="19">
        <f>IF($A43="","",'Items'!$F43)</f>
        <v/>
      </c>
      <c r="L43" s="19">
        <f>IF($A43="","",$F43*$K43)</f>
        <v/>
      </c>
      <c r="M43" s="16">
        <f>IF($A43="","",IF(AND($H43="Below minimum",OR('Order list'!$B$4="",$D43='Order list'!$B$4)),IFERROR(MATCH($D43,Suppliers,0),99)*10000+ROW(),""))</f>
        <v/>
      </c>
    </row>
    <row r="44">
      <c r="A44" s="8">
        <f>IF('Items'!$A44="","",'Items'!$A44)</f>
        <v/>
      </c>
      <c r="B44" s="8">
        <f>IF($A44="","",'Items'!$B44)</f>
        <v/>
      </c>
      <c r="C44" s="8">
        <f>IF($A44="","",'Items'!$K44)</f>
        <v/>
      </c>
      <c r="D44" s="8">
        <f>IF($A44="","",'Items'!$E44)</f>
        <v/>
      </c>
      <c r="E44" s="8">
        <f>IF($A44="","",'Items'!$D44)</f>
        <v/>
      </c>
      <c r="F44" s="16">
        <f>IF($A44="","",SUMIFS('Batches'!$E$3:$E$302,'Batches'!$A$3:$A$302,$A44,'Batches'!$G$3:$G$302,$C44)+SUMIFS('Movements'!$F$3:$F$1002,'Movements'!$B$3:$B$1002,$A44,'Movements'!$E$3:$E$1002,"In",'Movements'!$H$3:$H$1002,$C44)-SUMIFS('Movements'!$F$3:$F$1002,'Movements'!$B$3:$B$1002,$A44,'Movements'!$E$3:$E$1002,"Out",'Movements'!$G$3:$G$1002,$C44)-SUMIFS('Movements'!$F$3:$F$1002,'Movements'!$B$3:$B$1002,$A44,'Movements'!$E$3:$E$1002,"Waste",'Movements'!$G$3:$G$1002,$C44)+SUMIFS('Movements'!$F$3:$F$1002,'Movements'!$B$3:$B$1002,$A44,'Movements'!$E$3:$E$1002,"Transfer",'Movements'!$H$3:$H$1002,$C44)-SUMIFS('Movements'!$F$3:$F$1002,'Movements'!$B$3:$B$1002,$A44,'Movements'!$E$3:$E$1002,"Transfer",'Movements'!$G$3:$G$1002,$C44))</f>
        <v/>
      </c>
      <c r="G44" s="15">
        <f>IF($A44="","",'Items'!$I44)</f>
        <v/>
      </c>
      <c r="H44" s="8">
        <f>IF(OR($A44="",$G44=""),"",IF($F44&lt;$G44,"Below minimum","OK"))</f>
        <v/>
      </c>
      <c r="I44" s="18">
        <f>IF($A44="","",IF(SUMPRODUCT(SMALL(('Batches'!$A$3:$A$302=$A44)*('Batches'!$G$3:$G$302=$C44)*('Batches'!$D$3:$D$302&gt;0)*('Batches'!$H$3:$H$302&gt;0)*'Batches'!$D$3:$D$302+(1-('Batches'!$A$3:$A$302=$A44)*('Batches'!$G$3:$G$302=$C44)*('Batches'!$D$3:$D$302&gt;0)*('Batches'!$H$3:$H$302&gt;0))*100000,1))&gt;=100000,"",SUMPRODUCT(SMALL(('Batches'!$A$3:$A$302=$A44)*('Batches'!$G$3:$G$302=$C44)*('Batches'!$D$3:$D$302&gt;0)*('Batches'!$H$3:$H$302&gt;0)*'Batches'!$D$3:$D$302+(1-('Batches'!$A$3:$A$302=$A44)*('Batches'!$G$3:$G$302=$C44)*('Batches'!$D$3:$D$302&gt;0)*('Batches'!$H$3:$H$302&gt;0))*100000,1))))</f>
        <v/>
      </c>
      <c r="J44" s="16">
        <f>IF($A44="","",SUMIFS('Batches'!$H$3:$H$302,'Batches'!$A$3:$A$302,$A44,'Batches'!$G$3:$G$302,$C44,'Batches'!$D$3:$D$302,"&gt;0",'Batches'!$D$3:$D$302,"&lt;="&amp;('Settings'!$B$6+'Settings'!$B$7)))</f>
        <v/>
      </c>
      <c r="K44" s="19">
        <f>IF($A44="","",'Items'!$F44)</f>
        <v/>
      </c>
      <c r="L44" s="19">
        <f>IF($A44="","",$F44*$K44)</f>
        <v/>
      </c>
      <c r="M44" s="16">
        <f>IF($A44="","",IF(AND($H44="Below minimum",OR('Order list'!$B$4="",$D44='Order list'!$B$4)),IFERROR(MATCH($D44,Suppliers,0),99)*10000+ROW(),""))</f>
        <v/>
      </c>
    </row>
    <row r="45">
      <c r="A45" s="8">
        <f>IF('Items'!$A45="","",'Items'!$A45)</f>
        <v/>
      </c>
      <c r="B45" s="8">
        <f>IF($A45="","",'Items'!$B45)</f>
        <v/>
      </c>
      <c r="C45" s="8">
        <f>IF($A45="","",'Items'!$K45)</f>
        <v/>
      </c>
      <c r="D45" s="8">
        <f>IF($A45="","",'Items'!$E45)</f>
        <v/>
      </c>
      <c r="E45" s="8">
        <f>IF($A45="","",'Items'!$D45)</f>
        <v/>
      </c>
      <c r="F45" s="16">
        <f>IF($A45="","",SUMIFS('Batches'!$E$3:$E$302,'Batches'!$A$3:$A$302,$A45,'Batches'!$G$3:$G$302,$C45)+SUMIFS('Movements'!$F$3:$F$1002,'Movements'!$B$3:$B$1002,$A45,'Movements'!$E$3:$E$1002,"In",'Movements'!$H$3:$H$1002,$C45)-SUMIFS('Movements'!$F$3:$F$1002,'Movements'!$B$3:$B$1002,$A45,'Movements'!$E$3:$E$1002,"Out",'Movements'!$G$3:$G$1002,$C45)-SUMIFS('Movements'!$F$3:$F$1002,'Movements'!$B$3:$B$1002,$A45,'Movements'!$E$3:$E$1002,"Waste",'Movements'!$G$3:$G$1002,$C45)+SUMIFS('Movements'!$F$3:$F$1002,'Movements'!$B$3:$B$1002,$A45,'Movements'!$E$3:$E$1002,"Transfer",'Movements'!$H$3:$H$1002,$C45)-SUMIFS('Movements'!$F$3:$F$1002,'Movements'!$B$3:$B$1002,$A45,'Movements'!$E$3:$E$1002,"Transfer",'Movements'!$G$3:$G$1002,$C45))</f>
        <v/>
      </c>
      <c r="G45" s="15">
        <f>IF($A45="","",'Items'!$I45)</f>
        <v/>
      </c>
      <c r="H45" s="8">
        <f>IF(OR($A45="",$G45=""),"",IF($F45&lt;$G45,"Below minimum","OK"))</f>
        <v/>
      </c>
      <c r="I45" s="18">
        <f>IF($A45="","",IF(SUMPRODUCT(SMALL(('Batches'!$A$3:$A$302=$A45)*('Batches'!$G$3:$G$302=$C45)*('Batches'!$D$3:$D$302&gt;0)*('Batches'!$H$3:$H$302&gt;0)*'Batches'!$D$3:$D$302+(1-('Batches'!$A$3:$A$302=$A45)*('Batches'!$G$3:$G$302=$C45)*('Batches'!$D$3:$D$302&gt;0)*('Batches'!$H$3:$H$302&gt;0))*100000,1))&gt;=100000,"",SUMPRODUCT(SMALL(('Batches'!$A$3:$A$302=$A45)*('Batches'!$G$3:$G$302=$C45)*('Batches'!$D$3:$D$302&gt;0)*('Batches'!$H$3:$H$302&gt;0)*'Batches'!$D$3:$D$302+(1-('Batches'!$A$3:$A$302=$A45)*('Batches'!$G$3:$G$302=$C45)*('Batches'!$D$3:$D$302&gt;0)*('Batches'!$H$3:$H$302&gt;0))*100000,1))))</f>
        <v/>
      </c>
      <c r="J45" s="16">
        <f>IF($A45="","",SUMIFS('Batches'!$H$3:$H$302,'Batches'!$A$3:$A$302,$A45,'Batches'!$G$3:$G$302,$C45,'Batches'!$D$3:$D$302,"&gt;0",'Batches'!$D$3:$D$302,"&lt;="&amp;('Settings'!$B$6+'Settings'!$B$7)))</f>
        <v/>
      </c>
      <c r="K45" s="19">
        <f>IF($A45="","",'Items'!$F45)</f>
        <v/>
      </c>
      <c r="L45" s="19">
        <f>IF($A45="","",$F45*$K45)</f>
        <v/>
      </c>
      <c r="M45" s="16">
        <f>IF($A45="","",IF(AND($H45="Below minimum",OR('Order list'!$B$4="",$D45='Order list'!$B$4)),IFERROR(MATCH($D45,Suppliers,0),99)*10000+ROW(),""))</f>
        <v/>
      </c>
    </row>
    <row r="46">
      <c r="A46" s="8">
        <f>IF('Items'!$A46="","",'Items'!$A46)</f>
        <v/>
      </c>
      <c r="B46" s="8">
        <f>IF($A46="","",'Items'!$B46)</f>
        <v/>
      </c>
      <c r="C46" s="8">
        <f>IF($A46="","",'Items'!$K46)</f>
        <v/>
      </c>
      <c r="D46" s="8">
        <f>IF($A46="","",'Items'!$E46)</f>
        <v/>
      </c>
      <c r="E46" s="8">
        <f>IF($A46="","",'Items'!$D46)</f>
        <v/>
      </c>
      <c r="F46" s="16">
        <f>IF($A46="","",SUMIFS('Batches'!$E$3:$E$302,'Batches'!$A$3:$A$302,$A46,'Batches'!$G$3:$G$302,$C46)+SUMIFS('Movements'!$F$3:$F$1002,'Movements'!$B$3:$B$1002,$A46,'Movements'!$E$3:$E$1002,"In",'Movements'!$H$3:$H$1002,$C46)-SUMIFS('Movements'!$F$3:$F$1002,'Movements'!$B$3:$B$1002,$A46,'Movements'!$E$3:$E$1002,"Out",'Movements'!$G$3:$G$1002,$C46)-SUMIFS('Movements'!$F$3:$F$1002,'Movements'!$B$3:$B$1002,$A46,'Movements'!$E$3:$E$1002,"Waste",'Movements'!$G$3:$G$1002,$C46)+SUMIFS('Movements'!$F$3:$F$1002,'Movements'!$B$3:$B$1002,$A46,'Movements'!$E$3:$E$1002,"Transfer",'Movements'!$H$3:$H$1002,$C46)-SUMIFS('Movements'!$F$3:$F$1002,'Movements'!$B$3:$B$1002,$A46,'Movements'!$E$3:$E$1002,"Transfer",'Movements'!$G$3:$G$1002,$C46))</f>
        <v/>
      </c>
      <c r="G46" s="15">
        <f>IF($A46="","",'Items'!$I46)</f>
        <v/>
      </c>
      <c r="H46" s="8">
        <f>IF(OR($A46="",$G46=""),"",IF($F46&lt;$G46,"Below minimum","OK"))</f>
        <v/>
      </c>
      <c r="I46" s="18">
        <f>IF($A46="","",IF(SUMPRODUCT(SMALL(('Batches'!$A$3:$A$302=$A46)*('Batches'!$G$3:$G$302=$C46)*('Batches'!$D$3:$D$302&gt;0)*('Batches'!$H$3:$H$302&gt;0)*'Batches'!$D$3:$D$302+(1-('Batches'!$A$3:$A$302=$A46)*('Batches'!$G$3:$G$302=$C46)*('Batches'!$D$3:$D$302&gt;0)*('Batches'!$H$3:$H$302&gt;0))*100000,1))&gt;=100000,"",SUMPRODUCT(SMALL(('Batches'!$A$3:$A$302=$A46)*('Batches'!$G$3:$G$302=$C46)*('Batches'!$D$3:$D$302&gt;0)*('Batches'!$H$3:$H$302&gt;0)*'Batches'!$D$3:$D$302+(1-('Batches'!$A$3:$A$302=$A46)*('Batches'!$G$3:$G$302=$C46)*('Batches'!$D$3:$D$302&gt;0)*('Batches'!$H$3:$H$302&gt;0))*100000,1))))</f>
        <v/>
      </c>
      <c r="J46" s="16">
        <f>IF($A46="","",SUMIFS('Batches'!$H$3:$H$302,'Batches'!$A$3:$A$302,$A46,'Batches'!$G$3:$G$302,$C46,'Batches'!$D$3:$D$302,"&gt;0",'Batches'!$D$3:$D$302,"&lt;="&amp;('Settings'!$B$6+'Settings'!$B$7)))</f>
        <v/>
      </c>
      <c r="K46" s="19">
        <f>IF($A46="","",'Items'!$F46)</f>
        <v/>
      </c>
      <c r="L46" s="19">
        <f>IF($A46="","",$F46*$K46)</f>
        <v/>
      </c>
      <c r="M46" s="16">
        <f>IF($A46="","",IF(AND($H46="Below minimum",OR('Order list'!$B$4="",$D46='Order list'!$B$4)),IFERROR(MATCH($D46,Suppliers,0),99)*10000+ROW(),""))</f>
        <v/>
      </c>
    </row>
    <row r="47">
      <c r="A47" s="8">
        <f>IF('Items'!$A47="","",'Items'!$A47)</f>
        <v/>
      </c>
      <c r="B47" s="8">
        <f>IF($A47="","",'Items'!$B47)</f>
        <v/>
      </c>
      <c r="C47" s="8">
        <f>IF($A47="","",'Items'!$K47)</f>
        <v/>
      </c>
      <c r="D47" s="8">
        <f>IF($A47="","",'Items'!$E47)</f>
        <v/>
      </c>
      <c r="E47" s="8">
        <f>IF($A47="","",'Items'!$D47)</f>
        <v/>
      </c>
      <c r="F47" s="16">
        <f>IF($A47="","",SUMIFS('Batches'!$E$3:$E$302,'Batches'!$A$3:$A$302,$A47,'Batches'!$G$3:$G$302,$C47)+SUMIFS('Movements'!$F$3:$F$1002,'Movements'!$B$3:$B$1002,$A47,'Movements'!$E$3:$E$1002,"In",'Movements'!$H$3:$H$1002,$C47)-SUMIFS('Movements'!$F$3:$F$1002,'Movements'!$B$3:$B$1002,$A47,'Movements'!$E$3:$E$1002,"Out",'Movements'!$G$3:$G$1002,$C47)-SUMIFS('Movements'!$F$3:$F$1002,'Movements'!$B$3:$B$1002,$A47,'Movements'!$E$3:$E$1002,"Waste",'Movements'!$G$3:$G$1002,$C47)+SUMIFS('Movements'!$F$3:$F$1002,'Movements'!$B$3:$B$1002,$A47,'Movements'!$E$3:$E$1002,"Transfer",'Movements'!$H$3:$H$1002,$C47)-SUMIFS('Movements'!$F$3:$F$1002,'Movements'!$B$3:$B$1002,$A47,'Movements'!$E$3:$E$1002,"Transfer",'Movements'!$G$3:$G$1002,$C47))</f>
        <v/>
      </c>
      <c r="G47" s="15">
        <f>IF($A47="","",'Items'!$I47)</f>
        <v/>
      </c>
      <c r="H47" s="8">
        <f>IF(OR($A47="",$G47=""),"",IF($F47&lt;$G47,"Below minimum","OK"))</f>
        <v/>
      </c>
      <c r="I47" s="18">
        <f>IF($A47="","",IF(SUMPRODUCT(SMALL(('Batches'!$A$3:$A$302=$A47)*('Batches'!$G$3:$G$302=$C47)*('Batches'!$D$3:$D$302&gt;0)*('Batches'!$H$3:$H$302&gt;0)*'Batches'!$D$3:$D$302+(1-('Batches'!$A$3:$A$302=$A47)*('Batches'!$G$3:$G$302=$C47)*('Batches'!$D$3:$D$302&gt;0)*('Batches'!$H$3:$H$302&gt;0))*100000,1))&gt;=100000,"",SUMPRODUCT(SMALL(('Batches'!$A$3:$A$302=$A47)*('Batches'!$G$3:$G$302=$C47)*('Batches'!$D$3:$D$302&gt;0)*('Batches'!$H$3:$H$302&gt;0)*'Batches'!$D$3:$D$302+(1-('Batches'!$A$3:$A$302=$A47)*('Batches'!$G$3:$G$302=$C47)*('Batches'!$D$3:$D$302&gt;0)*('Batches'!$H$3:$H$302&gt;0))*100000,1))))</f>
        <v/>
      </c>
      <c r="J47" s="16">
        <f>IF($A47="","",SUMIFS('Batches'!$H$3:$H$302,'Batches'!$A$3:$A$302,$A47,'Batches'!$G$3:$G$302,$C47,'Batches'!$D$3:$D$302,"&gt;0",'Batches'!$D$3:$D$302,"&lt;="&amp;('Settings'!$B$6+'Settings'!$B$7)))</f>
        <v/>
      </c>
      <c r="K47" s="19">
        <f>IF($A47="","",'Items'!$F47)</f>
        <v/>
      </c>
      <c r="L47" s="19">
        <f>IF($A47="","",$F47*$K47)</f>
        <v/>
      </c>
      <c r="M47" s="16">
        <f>IF($A47="","",IF(AND($H47="Below minimum",OR('Order list'!$B$4="",$D47='Order list'!$B$4)),IFERROR(MATCH($D47,Suppliers,0),99)*10000+ROW(),""))</f>
        <v/>
      </c>
    </row>
    <row r="48">
      <c r="A48" s="8">
        <f>IF('Items'!$A48="","",'Items'!$A48)</f>
        <v/>
      </c>
      <c r="B48" s="8">
        <f>IF($A48="","",'Items'!$B48)</f>
        <v/>
      </c>
      <c r="C48" s="8">
        <f>IF($A48="","",'Items'!$K48)</f>
        <v/>
      </c>
      <c r="D48" s="8">
        <f>IF($A48="","",'Items'!$E48)</f>
        <v/>
      </c>
      <c r="E48" s="8">
        <f>IF($A48="","",'Items'!$D48)</f>
        <v/>
      </c>
      <c r="F48" s="16">
        <f>IF($A48="","",SUMIFS('Batches'!$E$3:$E$302,'Batches'!$A$3:$A$302,$A48,'Batches'!$G$3:$G$302,$C48)+SUMIFS('Movements'!$F$3:$F$1002,'Movements'!$B$3:$B$1002,$A48,'Movements'!$E$3:$E$1002,"In",'Movements'!$H$3:$H$1002,$C48)-SUMIFS('Movements'!$F$3:$F$1002,'Movements'!$B$3:$B$1002,$A48,'Movements'!$E$3:$E$1002,"Out",'Movements'!$G$3:$G$1002,$C48)-SUMIFS('Movements'!$F$3:$F$1002,'Movements'!$B$3:$B$1002,$A48,'Movements'!$E$3:$E$1002,"Waste",'Movements'!$G$3:$G$1002,$C48)+SUMIFS('Movements'!$F$3:$F$1002,'Movements'!$B$3:$B$1002,$A48,'Movements'!$E$3:$E$1002,"Transfer",'Movements'!$H$3:$H$1002,$C48)-SUMIFS('Movements'!$F$3:$F$1002,'Movements'!$B$3:$B$1002,$A48,'Movements'!$E$3:$E$1002,"Transfer",'Movements'!$G$3:$G$1002,$C48))</f>
        <v/>
      </c>
      <c r="G48" s="15">
        <f>IF($A48="","",'Items'!$I48)</f>
        <v/>
      </c>
      <c r="H48" s="8">
        <f>IF(OR($A48="",$G48=""),"",IF($F48&lt;$G48,"Below minimum","OK"))</f>
        <v/>
      </c>
      <c r="I48" s="18">
        <f>IF($A48="","",IF(SUMPRODUCT(SMALL(('Batches'!$A$3:$A$302=$A48)*('Batches'!$G$3:$G$302=$C48)*('Batches'!$D$3:$D$302&gt;0)*('Batches'!$H$3:$H$302&gt;0)*'Batches'!$D$3:$D$302+(1-('Batches'!$A$3:$A$302=$A48)*('Batches'!$G$3:$G$302=$C48)*('Batches'!$D$3:$D$302&gt;0)*('Batches'!$H$3:$H$302&gt;0))*100000,1))&gt;=100000,"",SUMPRODUCT(SMALL(('Batches'!$A$3:$A$302=$A48)*('Batches'!$G$3:$G$302=$C48)*('Batches'!$D$3:$D$302&gt;0)*('Batches'!$H$3:$H$302&gt;0)*'Batches'!$D$3:$D$302+(1-('Batches'!$A$3:$A$302=$A48)*('Batches'!$G$3:$G$302=$C48)*('Batches'!$D$3:$D$302&gt;0)*('Batches'!$H$3:$H$302&gt;0))*100000,1))))</f>
        <v/>
      </c>
      <c r="J48" s="16">
        <f>IF($A48="","",SUMIFS('Batches'!$H$3:$H$302,'Batches'!$A$3:$A$302,$A48,'Batches'!$G$3:$G$302,$C48,'Batches'!$D$3:$D$302,"&gt;0",'Batches'!$D$3:$D$302,"&lt;="&amp;('Settings'!$B$6+'Settings'!$B$7)))</f>
        <v/>
      </c>
      <c r="K48" s="19">
        <f>IF($A48="","",'Items'!$F48)</f>
        <v/>
      </c>
      <c r="L48" s="19">
        <f>IF($A48="","",$F48*$K48)</f>
        <v/>
      </c>
      <c r="M48" s="16">
        <f>IF($A48="","",IF(AND($H48="Below minimum",OR('Order list'!$B$4="",$D48='Order list'!$B$4)),IFERROR(MATCH($D48,Suppliers,0),99)*10000+ROW(),""))</f>
        <v/>
      </c>
    </row>
    <row r="49">
      <c r="A49" s="8">
        <f>IF('Items'!$A49="","",'Items'!$A49)</f>
        <v/>
      </c>
      <c r="B49" s="8">
        <f>IF($A49="","",'Items'!$B49)</f>
        <v/>
      </c>
      <c r="C49" s="8">
        <f>IF($A49="","",'Items'!$K49)</f>
        <v/>
      </c>
      <c r="D49" s="8">
        <f>IF($A49="","",'Items'!$E49)</f>
        <v/>
      </c>
      <c r="E49" s="8">
        <f>IF($A49="","",'Items'!$D49)</f>
        <v/>
      </c>
      <c r="F49" s="16">
        <f>IF($A49="","",SUMIFS('Batches'!$E$3:$E$302,'Batches'!$A$3:$A$302,$A49,'Batches'!$G$3:$G$302,$C49)+SUMIFS('Movements'!$F$3:$F$1002,'Movements'!$B$3:$B$1002,$A49,'Movements'!$E$3:$E$1002,"In",'Movements'!$H$3:$H$1002,$C49)-SUMIFS('Movements'!$F$3:$F$1002,'Movements'!$B$3:$B$1002,$A49,'Movements'!$E$3:$E$1002,"Out",'Movements'!$G$3:$G$1002,$C49)-SUMIFS('Movements'!$F$3:$F$1002,'Movements'!$B$3:$B$1002,$A49,'Movements'!$E$3:$E$1002,"Waste",'Movements'!$G$3:$G$1002,$C49)+SUMIFS('Movements'!$F$3:$F$1002,'Movements'!$B$3:$B$1002,$A49,'Movements'!$E$3:$E$1002,"Transfer",'Movements'!$H$3:$H$1002,$C49)-SUMIFS('Movements'!$F$3:$F$1002,'Movements'!$B$3:$B$1002,$A49,'Movements'!$E$3:$E$1002,"Transfer",'Movements'!$G$3:$G$1002,$C49))</f>
        <v/>
      </c>
      <c r="G49" s="15">
        <f>IF($A49="","",'Items'!$I49)</f>
        <v/>
      </c>
      <c r="H49" s="8">
        <f>IF(OR($A49="",$G49=""),"",IF($F49&lt;$G49,"Below minimum","OK"))</f>
        <v/>
      </c>
      <c r="I49" s="18">
        <f>IF($A49="","",IF(SUMPRODUCT(SMALL(('Batches'!$A$3:$A$302=$A49)*('Batches'!$G$3:$G$302=$C49)*('Batches'!$D$3:$D$302&gt;0)*('Batches'!$H$3:$H$302&gt;0)*'Batches'!$D$3:$D$302+(1-('Batches'!$A$3:$A$302=$A49)*('Batches'!$G$3:$G$302=$C49)*('Batches'!$D$3:$D$302&gt;0)*('Batches'!$H$3:$H$302&gt;0))*100000,1))&gt;=100000,"",SUMPRODUCT(SMALL(('Batches'!$A$3:$A$302=$A49)*('Batches'!$G$3:$G$302=$C49)*('Batches'!$D$3:$D$302&gt;0)*('Batches'!$H$3:$H$302&gt;0)*'Batches'!$D$3:$D$302+(1-('Batches'!$A$3:$A$302=$A49)*('Batches'!$G$3:$G$302=$C49)*('Batches'!$D$3:$D$302&gt;0)*('Batches'!$H$3:$H$302&gt;0))*100000,1))))</f>
        <v/>
      </c>
      <c r="J49" s="16">
        <f>IF($A49="","",SUMIFS('Batches'!$H$3:$H$302,'Batches'!$A$3:$A$302,$A49,'Batches'!$G$3:$G$302,$C49,'Batches'!$D$3:$D$302,"&gt;0",'Batches'!$D$3:$D$302,"&lt;="&amp;('Settings'!$B$6+'Settings'!$B$7)))</f>
        <v/>
      </c>
      <c r="K49" s="19">
        <f>IF($A49="","",'Items'!$F49)</f>
        <v/>
      </c>
      <c r="L49" s="19">
        <f>IF($A49="","",$F49*$K49)</f>
        <v/>
      </c>
      <c r="M49" s="16">
        <f>IF($A49="","",IF(AND($H49="Below minimum",OR('Order list'!$B$4="",$D49='Order list'!$B$4)),IFERROR(MATCH($D49,Suppliers,0),99)*10000+ROW(),""))</f>
        <v/>
      </c>
    </row>
    <row r="50">
      <c r="A50" s="8">
        <f>IF('Items'!$A50="","",'Items'!$A50)</f>
        <v/>
      </c>
      <c r="B50" s="8">
        <f>IF($A50="","",'Items'!$B50)</f>
        <v/>
      </c>
      <c r="C50" s="8">
        <f>IF($A50="","",'Items'!$K50)</f>
        <v/>
      </c>
      <c r="D50" s="8">
        <f>IF($A50="","",'Items'!$E50)</f>
        <v/>
      </c>
      <c r="E50" s="8">
        <f>IF($A50="","",'Items'!$D50)</f>
        <v/>
      </c>
      <c r="F50" s="16">
        <f>IF($A50="","",SUMIFS('Batches'!$E$3:$E$302,'Batches'!$A$3:$A$302,$A50,'Batches'!$G$3:$G$302,$C50)+SUMIFS('Movements'!$F$3:$F$1002,'Movements'!$B$3:$B$1002,$A50,'Movements'!$E$3:$E$1002,"In",'Movements'!$H$3:$H$1002,$C50)-SUMIFS('Movements'!$F$3:$F$1002,'Movements'!$B$3:$B$1002,$A50,'Movements'!$E$3:$E$1002,"Out",'Movements'!$G$3:$G$1002,$C50)-SUMIFS('Movements'!$F$3:$F$1002,'Movements'!$B$3:$B$1002,$A50,'Movements'!$E$3:$E$1002,"Waste",'Movements'!$G$3:$G$1002,$C50)+SUMIFS('Movements'!$F$3:$F$1002,'Movements'!$B$3:$B$1002,$A50,'Movements'!$E$3:$E$1002,"Transfer",'Movements'!$H$3:$H$1002,$C50)-SUMIFS('Movements'!$F$3:$F$1002,'Movements'!$B$3:$B$1002,$A50,'Movements'!$E$3:$E$1002,"Transfer",'Movements'!$G$3:$G$1002,$C50))</f>
        <v/>
      </c>
      <c r="G50" s="15">
        <f>IF($A50="","",'Items'!$I50)</f>
        <v/>
      </c>
      <c r="H50" s="8">
        <f>IF(OR($A50="",$G50=""),"",IF($F50&lt;$G50,"Below minimum","OK"))</f>
        <v/>
      </c>
      <c r="I50" s="18">
        <f>IF($A50="","",IF(SUMPRODUCT(SMALL(('Batches'!$A$3:$A$302=$A50)*('Batches'!$G$3:$G$302=$C50)*('Batches'!$D$3:$D$302&gt;0)*('Batches'!$H$3:$H$302&gt;0)*'Batches'!$D$3:$D$302+(1-('Batches'!$A$3:$A$302=$A50)*('Batches'!$G$3:$G$302=$C50)*('Batches'!$D$3:$D$302&gt;0)*('Batches'!$H$3:$H$302&gt;0))*100000,1))&gt;=100000,"",SUMPRODUCT(SMALL(('Batches'!$A$3:$A$302=$A50)*('Batches'!$G$3:$G$302=$C50)*('Batches'!$D$3:$D$302&gt;0)*('Batches'!$H$3:$H$302&gt;0)*'Batches'!$D$3:$D$302+(1-('Batches'!$A$3:$A$302=$A50)*('Batches'!$G$3:$G$302=$C50)*('Batches'!$D$3:$D$302&gt;0)*('Batches'!$H$3:$H$302&gt;0))*100000,1))))</f>
        <v/>
      </c>
      <c r="J50" s="16">
        <f>IF($A50="","",SUMIFS('Batches'!$H$3:$H$302,'Batches'!$A$3:$A$302,$A50,'Batches'!$G$3:$G$302,$C50,'Batches'!$D$3:$D$302,"&gt;0",'Batches'!$D$3:$D$302,"&lt;="&amp;('Settings'!$B$6+'Settings'!$B$7)))</f>
        <v/>
      </c>
      <c r="K50" s="19">
        <f>IF($A50="","",'Items'!$F50)</f>
        <v/>
      </c>
      <c r="L50" s="19">
        <f>IF($A50="","",$F50*$K50)</f>
        <v/>
      </c>
      <c r="M50" s="16">
        <f>IF($A50="","",IF(AND($H50="Below minimum",OR('Order list'!$B$4="",$D50='Order list'!$B$4)),IFERROR(MATCH($D50,Suppliers,0),99)*10000+ROW(),""))</f>
        <v/>
      </c>
    </row>
    <row r="51">
      <c r="A51" s="8">
        <f>IF('Items'!$A51="","",'Items'!$A51)</f>
        <v/>
      </c>
      <c r="B51" s="8">
        <f>IF($A51="","",'Items'!$B51)</f>
        <v/>
      </c>
      <c r="C51" s="8">
        <f>IF($A51="","",'Items'!$K51)</f>
        <v/>
      </c>
      <c r="D51" s="8">
        <f>IF($A51="","",'Items'!$E51)</f>
        <v/>
      </c>
      <c r="E51" s="8">
        <f>IF($A51="","",'Items'!$D51)</f>
        <v/>
      </c>
      <c r="F51" s="16">
        <f>IF($A51="","",SUMIFS('Batches'!$E$3:$E$302,'Batches'!$A$3:$A$302,$A51,'Batches'!$G$3:$G$302,$C51)+SUMIFS('Movements'!$F$3:$F$1002,'Movements'!$B$3:$B$1002,$A51,'Movements'!$E$3:$E$1002,"In",'Movements'!$H$3:$H$1002,$C51)-SUMIFS('Movements'!$F$3:$F$1002,'Movements'!$B$3:$B$1002,$A51,'Movements'!$E$3:$E$1002,"Out",'Movements'!$G$3:$G$1002,$C51)-SUMIFS('Movements'!$F$3:$F$1002,'Movements'!$B$3:$B$1002,$A51,'Movements'!$E$3:$E$1002,"Waste",'Movements'!$G$3:$G$1002,$C51)+SUMIFS('Movements'!$F$3:$F$1002,'Movements'!$B$3:$B$1002,$A51,'Movements'!$E$3:$E$1002,"Transfer",'Movements'!$H$3:$H$1002,$C51)-SUMIFS('Movements'!$F$3:$F$1002,'Movements'!$B$3:$B$1002,$A51,'Movements'!$E$3:$E$1002,"Transfer",'Movements'!$G$3:$G$1002,$C51))</f>
        <v/>
      </c>
      <c r="G51" s="15">
        <f>IF($A51="","",'Items'!$I51)</f>
        <v/>
      </c>
      <c r="H51" s="8">
        <f>IF(OR($A51="",$G51=""),"",IF($F51&lt;$G51,"Below minimum","OK"))</f>
        <v/>
      </c>
      <c r="I51" s="18">
        <f>IF($A51="","",IF(SUMPRODUCT(SMALL(('Batches'!$A$3:$A$302=$A51)*('Batches'!$G$3:$G$302=$C51)*('Batches'!$D$3:$D$302&gt;0)*('Batches'!$H$3:$H$302&gt;0)*'Batches'!$D$3:$D$302+(1-('Batches'!$A$3:$A$302=$A51)*('Batches'!$G$3:$G$302=$C51)*('Batches'!$D$3:$D$302&gt;0)*('Batches'!$H$3:$H$302&gt;0))*100000,1))&gt;=100000,"",SUMPRODUCT(SMALL(('Batches'!$A$3:$A$302=$A51)*('Batches'!$G$3:$G$302=$C51)*('Batches'!$D$3:$D$302&gt;0)*('Batches'!$H$3:$H$302&gt;0)*'Batches'!$D$3:$D$302+(1-('Batches'!$A$3:$A$302=$A51)*('Batches'!$G$3:$G$302=$C51)*('Batches'!$D$3:$D$302&gt;0)*('Batches'!$H$3:$H$302&gt;0))*100000,1))))</f>
        <v/>
      </c>
      <c r="J51" s="16">
        <f>IF($A51="","",SUMIFS('Batches'!$H$3:$H$302,'Batches'!$A$3:$A$302,$A51,'Batches'!$G$3:$G$302,$C51,'Batches'!$D$3:$D$302,"&gt;0",'Batches'!$D$3:$D$302,"&lt;="&amp;('Settings'!$B$6+'Settings'!$B$7)))</f>
        <v/>
      </c>
      <c r="K51" s="19">
        <f>IF($A51="","",'Items'!$F51)</f>
        <v/>
      </c>
      <c r="L51" s="19">
        <f>IF($A51="","",$F51*$K51)</f>
        <v/>
      </c>
      <c r="M51" s="16">
        <f>IF($A51="","",IF(AND($H51="Below minimum",OR('Order list'!$B$4="",$D51='Order list'!$B$4)),IFERROR(MATCH($D51,Suppliers,0),99)*10000+ROW(),""))</f>
        <v/>
      </c>
    </row>
    <row r="52">
      <c r="A52" s="8">
        <f>IF('Items'!$A52="","",'Items'!$A52)</f>
        <v/>
      </c>
      <c r="B52" s="8">
        <f>IF($A52="","",'Items'!$B52)</f>
        <v/>
      </c>
      <c r="C52" s="8">
        <f>IF($A52="","",'Items'!$K52)</f>
        <v/>
      </c>
      <c r="D52" s="8">
        <f>IF($A52="","",'Items'!$E52)</f>
        <v/>
      </c>
      <c r="E52" s="8">
        <f>IF($A52="","",'Items'!$D52)</f>
        <v/>
      </c>
      <c r="F52" s="16">
        <f>IF($A52="","",SUMIFS('Batches'!$E$3:$E$302,'Batches'!$A$3:$A$302,$A52,'Batches'!$G$3:$G$302,$C52)+SUMIFS('Movements'!$F$3:$F$1002,'Movements'!$B$3:$B$1002,$A52,'Movements'!$E$3:$E$1002,"In",'Movements'!$H$3:$H$1002,$C52)-SUMIFS('Movements'!$F$3:$F$1002,'Movements'!$B$3:$B$1002,$A52,'Movements'!$E$3:$E$1002,"Out",'Movements'!$G$3:$G$1002,$C52)-SUMIFS('Movements'!$F$3:$F$1002,'Movements'!$B$3:$B$1002,$A52,'Movements'!$E$3:$E$1002,"Waste",'Movements'!$G$3:$G$1002,$C52)+SUMIFS('Movements'!$F$3:$F$1002,'Movements'!$B$3:$B$1002,$A52,'Movements'!$E$3:$E$1002,"Transfer",'Movements'!$H$3:$H$1002,$C52)-SUMIFS('Movements'!$F$3:$F$1002,'Movements'!$B$3:$B$1002,$A52,'Movements'!$E$3:$E$1002,"Transfer",'Movements'!$G$3:$G$1002,$C52))</f>
        <v/>
      </c>
      <c r="G52" s="15">
        <f>IF($A52="","",'Items'!$I52)</f>
        <v/>
      </c>
      <c r="H52" s="8">
        <f>IF(OR($A52="",$G52=""),"",IF($F52&lt;$G52,"Below minimum","OK"))</f>
        <v/>
      </c>
      <c r="I52" s="18">
        <f>IF($A52="","",IF(SUMPRODUCT(SMALL(('Batches'!$A$3:$A$302=$A52)*('Batches'!$G$3:$G$302=$C52)*('Batches'!$D$3:$D$302&gt;0)*('Batches'!$H$3:$H$302&gt;0)*'Batches'!$D$3:$D$302+(1-('Batches'!$A$3:$A$302=$A52)*('Batches'!$G$3:$G$302=$C52)*('Batches'!$D$3:$D$302&gt;0)*('Batches'!$H$3:$H$302&gt;0))*100000,1))&gt;=100000,"",SUMPRODUCT(SMALL(('Batches'!$A$3:$A$302=$A52)*('Batches'!$G$3:$G$302=$C52)*('Batches'!$D$3:$D$302&gt;0)*('Batches'!$H$3:$H$302&gt;0)*'Batches'!$D$3:$D$302+(1-('Batches'!$A$3:$A$302=$A52)*('Batches'!$G$3:$G$302=$C52)*('Batches'!$D$3:$D$302&gt;0)*('Batches'!$H$3:$H$302&gt;0))*100000,1))))</f>
        <v/>
      </c>
      <c r="J52" s="16">
        <f>IF($A52="","",SUMIFS('Batches'!$H$3:$H$302,'Batches'!$A$3:$A$302,$A52,'Batches'!$G$3:$G$302,$C52,'Batches'!$D$3:$D$302,"&gt;0",'Batches'!$D$3:$D$302,"&lt;="&amp;('Settings'!$B$6+'Settings'!$B$7)))</f>
        <v/>
      </c>
      <c r="K52" s="19">
        <f>IF($A52="","",'Items'!$F52)</f>
        <v/>
      </c>
      <c r="L52" s="19">
        <f>IF($A52="","",$F52*$K52)</f>
        <v/>
      </c>
      <c r="M52" s="16">
        <f>IF($A52="","",IF(AND($H52="Below minimum",OR('Order list'!$B$4="",$D52='Order list'!$B$4)),IFERROR(MATCH($D52,Suppliers,0),99)*10000+ROW(),""))</f>
        <v/>
      </c>
    </row>
    <row r="53">
      <c r="A53" s="8">
        <f>IF('Items'!$A53="","",'Items'!$A53)</f>
        <v/>
      </c>
      <c r="B53" s="8">
        <f>IF($A53="","",'Items'!$B53)</f>
        <v/>
      </c>
      <c r="C53" s="8">
        <f>IF($A53="","",'Items'!$K53)</f>
        <v/>
      </c>
      <c r="D53" s="8">
        <f>IF($A53="","",'Items'!$E53)</f>
        <v/>
      </c>
      <c r="E53" s="8">
        <f>IF($A53="","",'Items'!$D53)</f>
        <v/>
      </c>
      <c r="F53" s="16">
        <f>IF($A53="","",SUMIFS('Batches'!$E$3:$E$302,'Batches'!$A$3:$A$302,$A53,'Batches'!$G$3:$G$302,$C53)+SUMIFS('Movements'!$F$3:$F$1002,'Movements'!$B$3:$B$1002,$A53,'Movements'!$E$3:$E$1002,"In",'Movements'!$H$3:$H$1002,$C53)-SUMIFS('Movements'!$F$3:$F$1002,'Movements'!$B$3:$B$1002,$A53,'Movements'!$E$3:$E$1002,"Out",'Movements'!$G$3:$G$1002,$C53)-SUMIFS('Movements'!$F$3:$F$1002,'Movements'!$B$3:$B$1002,$A53,'Movements'!$E$3:$E$1002,"Waste",'Movements'!$G$3:$G$1002,$C53)+SUMIFS('Movements'!$F$3:$F$1002,'Movements'!$B$3:$B$1002,$A53,'Movements'!$E$3:$E$1002,"Transfer",'Movements'!$H$3:$H$1002,$C53)-SUMIFS('Movements'!$F$3:$F$1002,'Movements'!$B$3:$B$1002,$A53,'Movements'!$E$3:$E$1002,"Transfer",'Movements'!$G$3:$G$1002,$C53))</f>
        <v/>
      </c>
      <c r="G53" s="15">
        <f>IF($A53="","",'Items'!$I53)</f>
        <v/>
      </c>
      <c r="H53" s="8">
        <f>IF(OR($A53="",$G53=""),"",IF($F53&lt;$G53,"Below minimum","OK"))</f>
        <v/>
      </c>
      <c r="I53" s="18">
        <f>IF($A53="","",IF(SUMPRODUCT(SMALL(('Batches'!$A$3:$A$302=$A53)*('Batches'!$G$3:$G$302=$C53)*('Batches'!$D$3:$D$302&gt;0)*('Batches'!$H$3:$H$302&gt;0)*'Batches'!$D$3:$D$302+(1-('Batches'!$A$3:$A$302=$A53)*('Batches'!$G$3:$G$302=$C53)*('Batches'!$D$3:$D$302&gt;0)*('Batches'!$H$3:$H$302&gt;0))*100000,1))&gt;=100000,"",SUMPRODUCT(SMALL(('Batches'!$A$3:$A$302=$A53)*('Batches'!$G$3:$G$302=$C53)*('Batches'!$D$3:$D$302&gt;0)*('Batches'!$H$3:$H$302&gt;0)*'Batches'!$D$3:$D$302+(1-('Batches'!$A$3:$A$302=$A53)*('Batches'!$G$3:$G$302=$C53)*('Batches'!$D$3:$D$302&gt;0)*('Batches'!$H$3:$H$302&gt;0))*100000,1))))</f>
        <v/>
      </c>
      <c r="J53" s="16">
        <f>IF($A53="","",SUMIFS('Batches'!$H$3:$H$302,'Batches'!$A$3:$A$302,$A53,'Batches'!$G$3:$G$302,$C53,'Batches'!$D$3:$D$302,"&gt;0",'Batches'!$D$3:$D$302,"&lt;="&amp;('Settings'!$B$6+'Settings'!$B$7)))</f>
        <v/>
      </c>
      <c r="K53" s="19">
        <f>IF($A53="","",'Items'!$F53)</f>
        <v/>
      </c>
      <c r="L53" s="19">
        <f>IF($A53="","",$F53*$K53)</f>
        <v/>
      </c>
      <c r="M53" s="16">
        <f>IF($A53="","",IF(AND($H53="Below minimum",OR('Order list'!$B$4="",$D53='Order list'!$B$4)),IFERROR(MATCH($D53,Suppliers,0),99)*10000+ROW(),""))</f>
        <v/>
      </c>
    </row>
    <row r="54">
      <c r="A54" s="8">
        <f>IF('Items'!$A54="","",'Items'!$A54)</f>
        <v/>
      </c>
      <c r="B54" s="8">
        <f>IF($A54="","",'Items'!$B54)</f>
        <v/>
      </c>
      <c r="C54" s="8">
        <f>IF($A54="","",'Items'!$K54)</f>
        <v/>
      </c>
      <c r="D54" s="8">
        <f>IF($A54="","",'Items'!$E54)</f>
        <v/>
      </c>
      <c r="E54" s="8">
        <f>IF($A54="","",'Items'!$D54)</f>
        <v/>
      </c>
      <c r="F54" s="16">
        <f>IF($A54="","",SUMIFS('Batches'!$E$3:$E$302,'Batches'!$A$3:$A$302,$A54,'Batches'!$G$3:$G$302,$C54)+SUMIFS('Movements'!$F$3:$F$1002,'Movements'!$B$3:$B$1002,$A54,'Movements'!$E$3:$E$1002,"In",'Movements'!$H$3:$H$1002,$C54)-SUMIFS('Movements'!$F$3:$F$1002,'Movements'!$B$3:$B$1002,$A54,'Movements'!$E$3:$E$1002,"Out",'Movements'!$G$3:$G$1002,$C54)-SUMIFS('Movements'!$F$3:$F$1002,'Movements'!$B$3:$B$1002,$A54,'Movements'!$E$3:$E$1002,"Waste",'Movements'!$G$3:$G$1002,$C54)+SUMIFS('Movements'!$F$3:$F$1002,'Movements'!$B$3:$B$1002,$A54,'Movements'!$E$3:$E$1002,"Transfer",'Movements'!$H$3:$H$1002,$C54)-SUMIFS('Movements'!$F$3:$F$1002,'Movements'!$B$3:$B$1002,$A54,'Movements'!$E$3:$E$1002,"Transfer",'Movements'!$G$3:$G$1002,$C54))</f>
        <v/>
      </c>
      <c r="G54" s="15">
        <f>IF($A54="","",'Items'!$I54)</f>
        <v/>
      </c>
      <c r="H54" s="8">
        <f>IF(OR($A54="",$G54=""),"",IF($F54&lt;$G54,"Below minimum","OK"))</f>
        <v/>
      </c>
      <c r="I54" s="18">
        <f>IF($A54="","",IF(SUMPRODUCT(SMALL(('Batches'!$A$3:$A$302=$A54)*('Batches'!$G$3:$G$302=$C54)*('Batches'!$D$3:$D$302&gt;0)*('Batches'!$H$3:$H$302&gt;0)*'Batches'!$D$3:$D$302+(1-('Batches'!$A$3:$A$302=$A54)*('Batches'!$G$3:$G$302=$C54)*('Batches'!$D$3:$D$302&gt;0)*('Batches'!$H$3:$H$302&gt;0))*100000,1))&gt;=100000,"",SUMPRODUCT(SMALL(('Batches'!$A$3:$A$302=$A54)*('Batches'!$G$3:$G$302=$C54)*('Batches'!$D$3:$D$302&gt;0)*('Batches'!$H$3:$H$302&gt;0)*'Batches'!$D$3:$D$302+(1-('Batches'!$A$3:$A$302=$A54)*('Batches'!$G$3:$G$302=$C54)*('Batches'!$D$3:$D$302&gt;0)*('Batches'!$H$3:$H$302&gt;0))*100000,1))))</f>
        <v/>
      </c>
      <c r="J54" s="16">
        <f>IF($A54="","",SUMIFS('Batches'!$H$3:$H$302,'Batches'!$A$3:$A$302,$A54,'Batches'!$G$3:$G$302,$C54,'Batches'!$D$3:$D$302,"&gt;0",'Batches'!$D$3:$D$302,"&lt;="&amp;('Settings'!$B$6+'Settings'!$B$7)))</f>
        <v/>
      </c>
      <c r="K54" s="19">
        <f>IF($A54="","",'Items'!$F54)</f>
        <v/>
      </c>
      <c r="L54" s="19">
        <f>IF($A54="","",$F54*$K54)</f>
        <v/>
      </c>
      <c r="M54" s="16">
        <f>IF($A54="","",IF(AND($H54="Below minimum",OR('Order list'!$B$4="",$D54='Order list'!$B$4)),IFERROR(MATCH($D54,Suppliers,0),99)*10000+ROW(),""))</f>
        <v/>
      </c>
    </row>
    <row r="55">
      <c r="A55" s="8">
        <f>IF('Items'!$A55="","",'Items'!$A55)</f>
        <v/>
      </c>
      <c r="B55" s="8">
        <f>IF($A55="","",'Items'!$B55)</f>
        <v/>
      </c>
      <c r="C55" s="8">
        <f>IF($A55="","",'Items'!$K55)</f>
        <v/>
      </c>
      <c r="D55" s="8">
        <f>IF($A55="","",'Items'!$E55)</f>
        <v/>
      </c>
      <c r="E55" s="8">
        <f>IF($A55="","",'Items'!$D55)</f>
        <v/>
      </c>
      <c r="F55" s="16">
        <f>IF($A55="","",SUMIFS('Batches'!$E$3:$E$302,'Batches'!$A$3:$A$302,$A55,'Batches'!$G$3:$G$302,$C55)+SUMIFS('Movements'!$F$3:$F$1002,'Movements'!$B$3:$B$1002,$A55,'Movements'!$E$3:$E$1002,"In",'Movements'!$H$3:$H$1002,$C55)-SUMIFS('Movements'!$F$3:$F$1002,'Movements'!$B$3:$B$1002,$A55,'Movements'!$E$3:$E$1002,"Out",'Movements'!$G$3:$G$1002,$C55)-SUMIFS('Movements'!$F$3:$F$1002,'Movements'!$B$3:$B$1002,$A55,'Movements'!$E$3:$E$1002,"Waste",'Movements'!$G$3:$G$1002,$C55)+SUMIFS('Movements'!$F$3:$F$1002,'Movements'!$B$3:$B$1002,$A55,'Movements'!$E$3:$E$1002,"Transfer",'Movements'!$H$3:$H$1002,$C55)-SUMIFS('Movements'!$F$3:$F$1002,'Movements'!$B$3:$B$1002,$A55,'Movements'!$E$3:$E$1002,"Transfer",'Movements'!$G$3:$G$1002,$C55))</f>
        <v/>
      </c>
      <c r="G55" s="15">
        <f>IF($A55="","",'Items'!$I55)</f>
        <v/>
      </c>
      <c r="H55" s="8">
        <f>IF(OR($A55="",$G55=""),"",IF($F55&lt;$G55,"Below minimum","OK"))</f>
        <v/>
      </c>
      <c r="I55" s="18">
        <f>IF($A55="","",IF(SUMPRODUCT(SMALL(('Batches'!$A$3:$A$302=$A55)*('Batches'!$G$3:$G$302=$C55)*('Batches'!$D$3:$D$302&gt;0)*('Batches'!$H$3:$H$302&gt;0)*'Batches'!$D$3:$D$302+(1-('Batches'!$A$3:$A$302=$A55)*('Batches'!$G$3:$G$302=$C55)*('Batches'!$D$3:$D$302&gt;0)*('Batches'!$H$3:$H$302&gt;0))*100000,1))&gt;=100000,"",SUMPRODUCT(SMALL(('Batches'!$A$3:$A$302=$A55)*('Batches'!$G$3:$G$302=$C55)*('Batches'!$D$3:$D$302&gt;0)*('Batches'!$H$3:$H$302&gt;0)*'Batches'!$D$3:$D$302+(1-('Batches'!$A$3:$A$302=$A55)*('Batches'!$G$3:$G$302=$C55)*('Batches'!$D$3:$D$302&gt;0)*('Batches'!$H$3:$H$302&gt;0))*100000,1))))</f>
        <v/>
      </c>
      <c r="J55" s="16">
        <f>IF($A55="","",SUMIFS('Batches'!$H$3:$H$302,'Batches'!$A$3:$A$302,$A55,'Batches'!$G$3:$G$302,$C55,'Batches'!$D$3:$D$302,"&gt;0",'Batches'!$D$3:$D$302,"&lt;="&amp;('Settings'!$B$6+'Settings'!$B$7)))</f>
        <v/>
      </c>
      <c r="K55" s="19">
        <f>IF($A55="","",'Items'!$F55)</f>
        <v/>
      </c>
      <c r="L55" s="19">
        <f>IF($A55="","",$F55*$K55)</f>
        <v/>
      </c>
      <c r="M55" s="16">
        <f>IF($A55="","",IF(AND($H55="Below minimum",OR('Order list'!$B$4="",$D55='Order list'!$B$4)),IFERROR(MATCH($D55,Suppliers,0),99)*10000+ROW(),""))</f>
        <v/>
      </c>
    </row>
    <row r="56">
      <c r="A56" s="8">
        <f>IF('Items'!$A56="","",'Items'!$A56)</f>
        <v/>
      </c>
      <c r="B56" s="8">
        <f>IF($A56="","",'Items'!$B56)</f>
        <v/>
      </c>
      <c r="C56" s="8">
        <f>IF($A56="","",'Items'!$K56)</f>
        <v/>
      </c>
      <c r="D56" s="8">
        <f>IF($A56="","",'Items'!$E56)</f>
        <v/>
      </c>
      <c r="E56" s="8">
        <f>IF($A56="","",'Items'!$D56)</f>
        <v/>
      </c>
      <c r="F56" s="16">
        <f>IF($A56="","",SUMIFS('Batches'!$E$3:$E$302,'Batches'!$A$3:$A$302,$A56,'Batches'!$G$3:$G$302,$C56)+SUMIFS('Movements'!$F$3:$F$1002,'Movements'!$B$3:$B$1002,$A56,'Movements'!$E$3:$E$1002,"In",'Movements'!$H$3:$H$1002,$C56)-SUMIFS('Movements'!$F$3:$F$1002,'Movements'!$B$3:$B$1002,$A56,'Movements'!$E$3:$E$1002,"Out",'Movements'!$G$3:$G$1002,$C56)-SUMIFS('Movements'!$F$3:$F$1002,'Movements'!$B$3:$B$1002,$A56,'Movements'!$E$3:$E$1002,"Waste",'Movements'!$G$3:$G$1002,$C56)+SUMIFS('Movements'!$F$3:$F$1002,'Movements'!$B$3:$B$1002,$A56,'Movements'!$E$3:$E$1002,"Transfer",'Movements'!$H$3:$H$1002,$C56)-SUMIFS('Movements'!$F$3:$F$1002,'Movements'!$B$3:$B$1002,$A56,'Movements'!$E$3:$E$1002,"Transfer",'Movements'!$G$3:$G$1002,$C56))</f>
        <v/>
      </c>
      <c r="G56" s="15">
        <f>IF($A56="","",'Items'!$I56)</f>
        <v/>
      </c>
      <c r="H56" s="8">
        <f>IF(OR($A56="",$G56=""),"",IF($F56&lt;$G56,"Below minimum","OK"))</f>
        <v/>
      </c>
      <c r="I56" s="18">
        <f>IF($A56="","",IF(SUMPRODUCT(SMALL(('Batches'!$A$3:$A$302=$A56)*('Batches'!$G$3:$G$302=$C56)*('Batches'!$D$3:$D$302&gt;0)*('Batches'!$H$3:$H$302&gt;0)*'Batches'!$D$3:$D$302+(1-('Batches'!$A$3:$A$302=$A56)*('Batches'!$G$3:$G$302=$C56)*('Batches'!$D$3:$D$302&gt;0)*('Batches'!$H$3:$H$302&gt;0))*100000,1))&gt;=100000,"",SUMPRODUCT(SMALL(('Batches'!$A$3:$A$302=$A56)*('Batches'!$G$3:$G$302=$C56)*('Batches'!$D$3:$D$302&gt;0)*('Batches'!$H$3:$H$302&gt;0)*'Batches'!$D$3:$D$302+(1-('Batches'!$A$3:$A$302=$A56)*('Batches'!$G$3:$G$302=$C56)*('Batches'!$D$3:$D$302&gt;0)*('Batches'!$H$3:$H$302&gt;0))*100000,1))))</f>
        <v/>
      </c>
      <c r="J56" s="16">
        <f>IF($A56="","",SUMIFS('Batches'!$H$3:$H$302,'Batches'!$A$3:$A$302,$A56,'Batches'!$G$3:$G$302,$C56,'Batches'!$D$3:$D$302,"&gt;0",'Batches'!$D$3:$D$302,"&lt;="&amp;('Settings'!$B$6+'Settings'!$B$7)))</f>
        <v/>
      </c>
      <c r="K56" s="19">
        <f>IF($A56="","",'Items'!$F56)</f>
        <v/>
      </c>
      <c r="L56" s="19">
        <f>IF($A56="","",$F56*$K56)</f>
        <v/>
      </c>
      <c r="M56" s="16">
        <f>IF($A56="","",IF(AND($H56="Below minimum",OR('Order list'!$B$4="",$D56='Order list'!$B$4)),IFERROR(MATCH($D56,Suppliers,0),99)*10000+ROW(),""))</f>
        <v/>
      </c>
    </row>
    <row r="57">
      <c r="A57" s="8">
        <f>IF('Items'!$A57="","",'Items'!$A57)</f>
        <v/>
      </c>
      <c r="B57" s="8">
        <f>IF($A57="","",'Items'!$B57)</f>
        <v/>
      </c>
      <c r="C57" s="8">
        <f>IF($A57="","",'Items'!$K57)</f>
        <v/>
      </c>
      <c r="D57" s="8">
        <f>IF($A57="","",'Items'!$E57)</f>
        <v/>
      </c>
      <c r="E57" s="8">
        <f>IF($A57="","",'Items'!$D57)</f>
        <v/>
      </c>
      <c r="F57" s="16">
        <f>IF($A57="","",SUMIFS('Batches'!$E$3:$E$302,'Batches'!$A$3:$A$302,$A57,'Batches'!$G$3:$G$302,$C57)+SUMIFS('Movements'!$F$3:$F$1002,'Movements'!$B$3:$B$1002,$A57,'Movements'!$E$3:$E$1002,"In",'Movements'!$H$3:$H$1002,$C57)-SUMIFS('Movements'!$F$3:$F$1002,'Movements'!$B$3:$B$1002,$A57,'Movements'!$E$3:$E$1002,"Out",'Movements'!$G$3:$G$1002,$C57)-SUMIFS('Movements'!$F$3:$F$1002,'Movements'!$B$3:$B$1002,$A57,'Movements'!$E$3:$E$1002,"Waste",'Movements'!$G$3:$G$1002,$C57)+SUMIFS('Movements'!$F$3:$F$1002,'Movements'!$B$3:$B$1002,$A57,'Movements'!$E$3:$E$1002,"Transfer",'Movements'!$H$3:$H$1002,$C57)-SUMIFS('Movements'!$F$3:$F$1002,'Movements'!$B$3:$B$1002,$A57,'Movements'!$E$3:$E$1002,"Transfer",'Movements'!$G$3:$G$1002,$C57))</f>
        <v/>
      </c>
      <c r="G57" s="15">
        <f>IF($A57="","",'Items'!$I57)</f>
        <v/>
      </c>
      <c r="H57" s="8">
        <f>IF(OR($A57="",$G57=""),"",IF($F57&lt;$G57,"Below minimum","OK"))</f>
        <v/>
      </c>
      <c r="I57" s="18">
        <f>IF($A57="","",IF(SUMPRODUCT(SMALL(('Batches'!$A$3:$A$302=$A57)*('Batches'!$G$3:$G$302=$C57)*('Batches'!$D$3:$D$302&gt;0)*('Batches'!$H$3:$H$302&gt;0)*'Batches'!$D$3:$D$302+(1-('Batches'!$A$3:$A$302=$A57)*('Batches'!$G$3:$G$302=$C57)*('Batches'!$D$3:$D$302&gt;0)*('Batches'!$H$3:$H$302&gt;0))*100000,1))&gt;=100000,"",SUMPRODUCT(SMALL(('Batches'!$A$3:$A$302=$A57)*('Batches'!$G$3:$G$302=$C57)*('Batches'!$D$3:$D$302&gt;0)*('Batches'!$H$3:$H$302&gt;0)*'Batches'!$D$3:$D$302+(1-('Batches'!$A$3:$A$302=$A57)*('Batches'!$G$3:$G$302=$C57)*('Batches'!$D$3:$D$302&gt;0)*('Batches'!$H$3:$H$302&gt;0))*100000,1))))</f>
        <v/>
      </c>
      <c r="J57" s="16">
        <f>IF($A57="","",SUMIFS('Batches'!$H$3:$H$302,'Batches'!$A$3:$A$302,$A57,'Batches'!$G$3:$G$302,$C57,'Batches'!$D$3:$D$302,"&gt;0",'Batches'!$D$3:$D$302,"&lt;="&amp;('Settings'!$B$6+'Settings'!$B$7)))</f>
        <v/>
      </c>
      <c r="K57" s="19">
        <f>IF($A57="","",'Items'!$F57)</f>
        <v/>
      </c>
      <c r="L57" s="19">
        <f>IF($A57="","",$F57*$K57)</f>
        <v/>
      </c>
      <c r="M57" s="16">
        <f>IF($A57="","",IF(AND($H57="Below minimum",OR('Order list'!$B$4="",$D57='Order list'!$B$4)),IFERROR(MATCH($D57,Suppliers,0),99)*10000+ROW(),""))</f>
        <v/>
      </c>
    </row>
    <row r="58">
      <c r="A58" s="8">
        <f>IF('Items'!$A58="","",'Items'!$A58)</f>
        <v/>
      </c>
      <c r="B58" s="8">
        <f>IF($A58="","",'Items'!$B58)</f>
        <v/>
      </c>
      <c r="C58" s="8">
        <f>IF($A58="","",'Items'!$K58)</f>
        <v/>
      </c>
      <c r="D58" s="8">
        <f>IF($A58="","",'Items'!$E58)</f>
        <v/>
      </c>
      <c r="E58" s="8">
        <f>IF($A58="","",'Items'!$D58)</f>
        <v/>
      </c>
      <c r="F58" s="16">
        <f>IF($A58="","",SUMIFS('Batches'!$E$3:$E$302,'Batches'!$A$3:$A$302,$A58,'Batches'!$G$3:$G$302,$C58)+SUMIFS('Movements'!$F$3:$F$1002,'Movements'!$B$3:$B$1002,$A58,'Movements'!$E$3:$E$1002,"In",'Movements'!$H$3:$H$1002,$C58)-SUMIFS('Movements'!$F$3:$F$1002,'Movements'!$B$3:$B$1002,$A58,'Movements'!$E$3:$E$1002,"Out",'Movements'!$G$3:$G$1002,$C58)-SUMIFS('Movements'!$F$3:$F$1002,'Movements'!$B$3:$B$1002,$A58,'Movements'!$E$3:$E$1002,"Waste",'Movements'!$G$3:$G$1002,$C58)+SUMIFS('Movements'!$F$3:$F$1002,'Movements'!$B$3:$B$1002,$A58,'Movements'!$E$3:$E$1002,"Transfer",'Movements'!$H$3:$H$1002,$C58)-SUMIFS('Movements'!$F$3:$F$1002,'Movements'!$B$3:$B$1002,$A58,'Movements'!$E$3:$E$1002,"Transfer",'Movements'!$G$3:$G$1002,$C58))</f>
        <v/>
      </c>
      <c r="G58" s="15">
        <f>IF($A58="","",'Items'!$I58)</f>
        <v/>
      </c>
      <c r="H58" s="8">
        <f>IF(OR($A58="",$G58=""),"",IF($F58&lt;$G58,"Below minimum","OK"))</f>
        <v/>
      </c>
      <c r="I58" s="18">
        <f>IF($A58="","",IF(SUMPRODUCT(SMALL(('Batches'!$A$3:$A$302=$A58)*('Batches'!$G$3:$G$302=$C58)*('Batches'!$D$3:$D$302&gt;0)*('Batches'!$H$3:$H$302&gt;0)*'Batches'!$D$3:$D$302+(1-('Batches'!$A$3:$A$302=$A58)*('Batches'!$G$3:$G$302=$C58)*('Batches'!$D$3:$D$302&gt;0)*('Batches'!$H$3:$H$302&gt;0))*100000,1))&gt;=100000,"",SUMPRODUCT(SMALL(('Batches'!$A$3:$A$302=$A58)*('Batches'!$G$3:$G$302=$C58)*('Batches'!$D$3:$D$302&gt;0)*('Batches'!$H$3:$H$302&gt;0)*'Batches'!$D$3:$D$302+(1-('Batches'!$A$3:$A$302=$A58)*('Batches'!$G$3:$G$302=$C58)*('Batches'!$D$3:$D$302&gt;0)*('Batches'!$H$3:$H$302&gt;0))*100000,1))))</f>
        <v/>
      </c>
      <c r="J58" s="16">
        <f>IF($A58="","",SUMIFS('Batches'!$H$3:$H$302,'Batches'!$A$3:$A$302,$A58,'Batches'!$G$3:$G$302,$C58,'Batches'!$D$3:$D$302,"&gt;0",'Batches'!$D$3:$D$302,"&lt;="&amp;('Settings'!$B$6+'Settings'!$B$7)))</f>
        <v/>
      </c>
      <c r="K58" s="19">
        <f>IF($A58="","",'Items'!$F58)</f>
        <v/>
      </c>
      <c r="L58" s="19">
        <f>IF($A58="","",$F58*$K58)</f>
        <v/>
      </c>
      <c r="M58" s="16">
        <f>IF($A58="","",IF(AND($H58="Below minimum",OR('Order list'!$B$4="",$D58='Order list'!$B$4)),IFERROR(MATCH($D58,Suppliers,0),99)*10000+ROW(),""))</f>
        <v/>
      </c>
    </row>
    <row r="59">
      <c r="A59" s="8">
        <f>IF('Items'!$A59="","",'Items'!$A59)</f>
        <v/>
      </c>
      <c r="B59" s="8">
        <f>IF($A59="","",'Items'!$B59)</f>
        <v/>
      </c>
      <c r="C59" s="8">
        <f>IF($A59="","",'Items'!$K59)</f>
        <v/>
      </c>
      <c r="D59" s="8">
        <f>IF($A59="","",'Items'!$E59)</f>
        <v/>
      </c>
      <c r="E59" s="8">
        <f>IF($A59="","",'Items'!$D59)</f>
        <v/>
      </c>
      <c r="F59" s="16">
        <f>IF($A59="","",SUMIFS('Batches'!$E$3:$E$302,'Batches'!$A$3:$A$302,$A59,'Batches'!$G$3:$G$302,$C59)+SUMIFS('Movements'!$F$3:$F$1002,'Movements'!$B$3:$B$1002,$A59,'Movements'!$E$3:$E$1002,"In",'Movements'!$H$3:$H$1002,$C59)-SUMIFS('Movements'!$F$3:$F$1002,'Movements'!$B$3:$B$1002,$A59,'Movements'!$E$3:$E$1002,"Out",'Movements'!$G$3:$G$1002,$C59)-SUMIFS('Movements'!$F$3:$F$1002,'Movements'!$B$3:$B$1002,$A59,'Movements'!$E$3:$E$1002,"Waste",'Movements'!$G$3:$G$1002,$C59)+SUMIFS('Movements'!$F$3:$F$1002,'Movements'!$B$3:$B$1002,$A59,'Movements'!$E$3:$E$1002,"Transfer",'Movements'!$H$3:$H$1002,$C59)-SUMIFS('Movements'!$F$3:$F$1002,'Movements'!$B$3:$B$1002,$A59,'Movements'!$E$3:$E$1002,"Transfer",'Movements'!$G$3:$G$1002,$C59))</f>
        <v/>
      </c>
      <c r="G59" s="15">
        <f>IF($A59="","",'Items'!$I59)</f>
        <v/>
      </c>
      <c r="H59" s="8">
        <f>IF(OR($A59="",$G59=""),"",IF($F59&lt;$G59,"Below minimum","OK"))</f>
        <v/>
      </c>
      <c r="I59" s="18">
        <f>IF($A59="","",IF(SUMPRODUCT(SMALL(('Batches'!$A$3:$A$302=$A59)*('Batches'!$G$3:$G$302=$C59)*('Batches'!$D$3:$D$302&gt;0)*('Batches'!$H$3:$H$302&gt;0)*'Batches'!$D$3:$D$302+(1-('Batches'!$A$3:$A$302=$A59)*('Batches'!$G$3:$G$302=$C59)*('Batches'!$D$3:$D$302&gt;0)*('Batches'!$H$3:$H$302&gt;0))*100000,1))&gt;=100000,"",SUMPRODUCT(SMALL(('Batches'!$A$3:$A$302=$A59)*('Batches'!$G$3:$G$302=$C59)*('Batches'!$D$3:$D$302&gt;0)*('Batches'!$H$3:$H$302&gt;0)*'Batches'!$D$3:$D$302+(1-('Batches'!$A$3:$A$302=$A59)*('Batches'!$G$3:$G$302=$C59)*('Batches'!$D$3:$D$302&gt;0)*('Batches'!$H$3:$H$302&gt;0))*100000,1))))</f>
        <v/>
      </c>
      <c r="J59" s="16">
        <f>IF($A59="","",SUMIFS('Batches'!$H$3:$H$302,'Batches'!$A$3:$A$302,$A59,'Batches'!$G$3:$G$302,$C59,'Batches'!$D$3:$D$302,"&gt;0",'Batches'!$D$3:$D$302,"&lt;="&amp;('Settings'!$B$6+'Settings'!$B$7)))</f>
        <v/>
      </c>
      <c r="K59" s="19">
        <f>IF($A59="","",'Items'!$F59)</f>
        <v/>
      </c>
      <c r="L59" s="19">
        <f>IF($A59="","",$F59*$K59)</f>
        <v/>
      </c>
      <c r="M59" s="16">
        <f>IF($A59="","",IF(AND($H59="Below minimum",OR('Order list'!$B$4="",$D59='Order list'!$B$4)),IFERROR(MATCH($D59,Suppliers,0),99)*10000+ROW(),""))</f>
        <v/>
      </c>
    </row>
    <row r="60">
      <c r="A60" s="8">
        <f>IF('Items'!$A60="","",'Items'!$A60)</f>
        <v/>
      </c>
      <c r="B60" s="8">
        <f>IF($A60="","",'Items'!$B60)</f>
        <v/>
      </c>
      <c r="C60" s="8">
        <f>IF($A60="","",'Items'!$K60)</f>
        <v/>
      </c>
      <c r="D60" s="8">
        <f>IF($A60="","",'Items'!$E60)</f>
        <v/>
      </c>
      <c r="E60" s="8">
        <f>IF($A60="","",'Items'!$D60)</f>
        <v/>
      </c>
      <c r="F60" s="16">
        <f>IF($A60="","",SUMIFS('Batches'!$E$3:$E$302,'Batches'!$A$3:$A$302,$A60,'Batches'!$G$3:$G$302,$C60)+SUMIFS('Movements'!$F$3:$F$1002,'Movements'!$B$3:$B$1002,$A60,'Movements'!$E$3:$E$1002,"In",'Movements'!$H$3:$H$1002,$C60)-SUMIFS('Movements'!$F$3:$F$1002,'Movements'!$B$3:$B$1002,$A60,'Movements'!$E$3:$E$1002,"Out",'Movements'!$G$3:$G$1002,$C60)-SUMIFS('Movements'!$F$3:$F$1002,'Movements'!$B$3:$B$1002,$A60,'Movements'!$E$3:$E$1002,"Waste",'Movements'!$G$3:$G$1002,$C60)+SUMIFS('Movements'!$F$3:$F$1002,'Movements'!$B$3:$B$1002,$A60,'Movements'!$E$3:$E$1002,"Transfer",'Movements'!$H$3:$H$1002,$C60)-SUMIFS('Movements'!$F$3:$F$1002,'Movements'!$B$3:$B$1002,$A60,'Movements'!$E$3:$E$1002,"Transfer",'Movements'!$G$3:$G$1002,$C60))</f>
        <v/>
      </c>
      <c r="G60" s="15">
        <f>IF($A60="","",'Items'!$I60)</f>
        <v/>
      </c>
      <c r="H60" s="8">
        <f>IF(OR($A60="",$G60=""),"",IF($F60&lt;$G60,"Below minimum","OK"))</f>
        <v/>
      </c>
      <c r="I60" s="18">
        <f>IF($A60="","",IF(SUMPRODUCT(SMALL(('Batches'!$A$3:$A$302=$A60)*('Batches'!$G$3:$G$302=$C60)*('Batches'!$D$3:$D$302&gt;0)*('Batches'!$H$3:$H$302&gt;0)*'Batches'!$D$3:$D$302+(1-('Batches'!$A$3:$A$302=$A60)*('Batches'!$G$3:$G$302=$C60)*('Batches'!$D$3:$D$302&gt;0)*('Batches'!$H$3:$H$302&gt;0))*100000,1))&gt;=100000,"",SUMPRODUCT(SMALL(('Batches'!$A$3:$A$302=$A60)*('Batches'!$G$3:$G$302=$C60)*('Batches'!$D$3:$D$302&gt;0)*('Batches'!$H$3:$H$302&gt;0)*'Batches'!$D$3:$D$302+(1-('Batches'!$A$3:$A$302=$A60)*('Batches'!$G$3:$G$302=$C60)*('Batches'!$D$3:$D$302&gt;0)*('Batches'!$H$3:$H$302&gt;0))*100000,1))))</f>
        <v/>
      </c>
      <c r="J60" s="16">
        <f>IF($A60="","",SUMIFS('Batches'!$H$3:$H$302,'Batches'!$A$3:$A$302,$A60,'Batches'!$G$3:$G$302,$C60,'Batches'!$D$3:$D$302,"&gt;0",'Batches'!$D$3:$D$302,"&lt;="&amp;('Settings'!$B$6+'Settings'!$B$7)))</f>
        <v/>
      </c>
      <c r="K60" s="19">
        <f>IF($A60="","",'Items'!$F60)</f>
        <v/>
      </c>
      <c r="L60" s="19">
        <f>IF($A60="","",$F60*$K60)</f>
        <v/>
      </c>
      <c r="M60" s="16">
        <f>IF($A60="","",IF(AND($H60="Below minimum",OR('Order list'!$B$4="",$D60='Order list'!$B$4)),IFERROR(MATCH($D60,Suppliers,0),99)*10000+ROW(),""))</f>
        <v/>
      </c>
    </row>
    <row r="61">
      <c r="A61" s="8">
        <f>IF('Items'!$A61="","",'Items'!$A61)</f>
        <v/>
      </c>
      <c r="B61" s="8">
        <f>IF($A61="","",'Items'!$B61)</f>
        <v/>
      </c>
      <c r="C61" s="8">
        <f>IF($A61="","",'Items'!$K61)</f>
        <v/>
      </c>
      <c r="D61" s="8">
        <f>IF($A61="","",'Items'!$E61)</f>
        <v/>
      </c>
      <c r="E61" s="8">
        <f>IF($A61="","",'Items'!$D61)</f>
        <v/>
      </c>
      <c r="F61" s="16">
        <f>IF($A61="","",SUMIFS('Batches'!$E$3:$E$302,'Batches'!$A$3:$A$302,$A61,'Batches'!$G$3:$G$302,$C61)+SUMIFS('Movements'!$F$3:$F$1002,'Movements'!$B$3:$B$1002,$A61,'Movements'!$E$3:$E$1002,"In",'Movements'!$H$3:$H$1002,$C61)-SUMIFS('Movements'!$F$3:$F$1002,'Movements'!$B$3:$B$1002,$A61,'Movements'!$E$3:$E$1002,"Out",'Movements'!$G$3:$G$1002,$C61)-SUMIFS('Movements'!$F$3:$F$1002,'Movements'!$B$3:$B$1002,$A61,'Movements'!$E$3:$E$1002,"Waste",'Movements'!$G$3:$G$1002,$C61)+SUMIFS('Movements'!$F$3:$F$1002,'Movements'!$B$3:$B$1002,$A61,'Movements'!$E$3:$E$1002,"Transfer",'Movements'!$H$3:$H$1002,$C61)-SUMIFS('Movements'!$F$3:$F$1002,'Movements'!$B$3:$B$1002,$A61,'Movements'!$E$3:$E$1002,"Transfer",'Movements'!$G$3:$G$1002,$C61))</f>
        <v/>
      </c>
      <c r="G61" s="15">
        <f>IF($A61="","",'Items'!$I61)</f>
        <v/>
      </c>
      <c r="H61" s="8">
        <f>IF(OR($A61="",$G61=""),"",IF($F61&lt;$G61,"Below minimum","OK"))</f>
        <v/>
      </c>
      <c r="I61" s="18">
        <f>IF($A61="","",IF(SUMPRODUCT(SMALL(('Batches'!$A$3:$A$302=$A61)*('Batches'!$G$3:$G$302=$C61)*('Batches'!$D$3:$D$302&gt;0)*('Batches'!$H$3:$H$302&gt;0)*'Batches'!$D$3:$D$302+(1-('Batches'!$A$3:$A$302=$A61)*('Batches'!$G$3:$G$302=$C61)*('Batches'!$D$3:$D$302&gt;0)*('Batches'!$H$3:$H$302&gt;0))*100000,1))&gt;=100000,"",SUMPRODUCT(SMALL(('Batches'!$A$3:$A$302=$A61)*('Batches'!$G$3:$G$302=$C61)*('Batches'!$D$3:$D$302&gt;0)*('Batches'!$H$3:$H$302&gt;0)*'Batches'!$D$3:$D$302+(1-('Batches'!$A$3:$A$302=$A61)*('Batches'!$G$3:$G$302=$C61)*('Batches'!$D$3:$D$302&gt;0)*('Batches'!$H$3:$H$302&gt;0))*100000,1))))</f>
        <v/>
      </c>
      <c r="J61" s="16">
        <f>IF($A61="","",SUMIFS('Batches'!$H$3:$H$302,'Batches'!$A$3:$A$302,$A61,'Batches'!$G$3:$G$302,$C61,'Batches'!$D$3:$D$302,"&gt;0",'Batches'!$D$3:$D$302,"&lt;="&amp;('Settings'!$B$6+'Settings'!$B$7)))</f>
        <v/>
      </c>
      <c r="K61" s="19">
        <f>IF($A61="","",'Items'!$F61)</f>
        <v/>
      </c>
      <c r="L61" s="19">
        <f>IF($A61="","",$F61*$K61)</f>
        <v/>
      </c>
      <c r="M61" s="16">
        <f>IF($A61="","",IF(AND($H61="Below minimum",OR('Order list'!$B$4="",$D61='Order list'!$B$4)),IFERROR(MATCH($D61,Suppliers,0),99)*10000+ROW(),""))</f>
        <v/>
      </c>
    </row>
    <row r="62">
      <c r="A62" s="8">
        <f>IF('Items'!$A62="","",'Items'!$A62)</f>
        <v/>
      </c>
      <c r="B62" s="8">
        <f>IF($A62="","",'Items'!$B62)</f>
        <v/>
      </c>
      <c r="C62" s="8">
        <f>IF($A62="","",'Items'!$K62)</f>
        <v/>
      </c>
      <c r="D62" s="8">
        <f>IF($A62="","",'Items'!$E62)</f>
        <v/>
      </c>
      <c r="E62" s="8">
        <f>IF($A62="","",'Items'!$D62)</f>
        <v/>
      </c>
      <c r="F62" s="16">
        <f>IF($A62="","",SUMIFS('Batches'!$E$3:$E$302,'Batches'!$A$3:$A$302,$A62,'Batches'!$G$3:$G$302,$C62)+SUMIFS('Movements'!$F$3:$F$1002,'Movements'!$B$3:$B$1002,$A62,'Movements'!$E$3:$E$1002,"In",'Movements'!$H$3:$H$1002,$C62)-SUMIFS('Movements'!$F$3:$F$1002,'Movements'!$B$3:$B$1002,$A62,'Movements'!$E$3:$E$1002,"Out",'Movements'!$G$3:$G$1002,$C62)-SUMIFS('Movements'!$F$3:$F$1002,'Movements'!$B$3:$B$1002,$A62,'Movements'!$E$3:$E$1002,"Waste",'Movements'!$G$3:$G$1002,$C62)+SUMIFS('Movements'!$F$3:$F$1002,'Movements'!$B$3:$B$1002,$A62,'Movements'!$E$3:$E$1002,"Transfer",'Movements'!$H$3:$H$1002,$C62)-SUMIFS('Movements'!$F$3:$F$1002,'Movements'!$B$3:$B$1002,$A62,'Movements'!$E$3:$E$1002,"Transfer",'Movements'!$G$3:$G$1002,$C62))</f>
        <v/>
      </c>
      <c r="G62" s="15">
        <f>IF($A62="","",'Items'!$I62)</f>
        <v/>
      </c>
      <c r="H62" s="8">
        <f>IF(OR($A62="",$G62=""),"",IF($F62&lt;$G62,"Below minimum","OK"))</f>
        <v/>
      </c>
      <c r="I62" s="18">
        <f>IF($A62="","",IF(SUMPRODUCT(SMALL(('Batches'!$A$3:$A$302=$A62)*('Batches'!$G$3:$G$302=$C62)*('Batches'!$D$3:$D$302&gt;0)*('Batches'!$H$3:$H$302&gt;0)*'Batches'!$D$3:$D$302+(1-('Batches'!$A$3:$A$302=$A62)*('Batches'!$G$3:$G$302=$C62)*('Batches'!$D$3:$D$302&gt;0)*('Batches'!$H$3:$H$302&gt;0))*100000,1))&gt;=100000,"",SUMPRODUCT(SMALL(('Batches'!$A$3:$A$302=$A62)*('Batches'!$G$3:$G$302=$C62)*('Batches'!$D$3:$D$302&gt;0)*('Batches'!$H$3:$H$302&gt;0)*'Batches'!$D$3:$D$302+(1-('Batches'!$A$3:$A$302=$A62)*('Batches'!$G$3:$G$302=$C62)*('Batches'!$D$3:$D$302&gt;0)*('Batches'!$H$3:$H$302&gt;0))*100000,1))))</f>
        <v/>
      </c>
      <c r="J62" s="16">
        <f>IF($A62="","",SUMIFS('Batches'!$H$3:$H$302,'Batches'!$A$3:$A$302,$A62,'Batches'!$G$3:$G$302,$C62,'Batches'!$D$3:$D$302,"&gt;0",'Batches'!$D$3:$D$302,"&lt;="&amp;('Settings'!$B$6+'Settings'!$B$7)))</f>
        <v/>
      </c>
      <c r="K62" s="19">
        <f>IF($A62="","",'Items'!$F62)</f>
        <v/>
      </c>
      <c r="L62" s="19">
        <f>IF($A62="","",$F62*$K62)</f>
        <v/>
      </c>
      <c r="M62" s="16">
        <f>IF($A62="","",IF(AND($H62="Below minimum",OR('Order list'!$B$4="",$D62='Order list'!$B$4)),IFERROR(MATCH($D62,Suppliers,0),99)*10000+ROW(),""))</f>
        <v/>
      </c>
    </row>
    <row r="63">
      <c r="A63" s="8">
        <f>IF('Items'!$A63="","",'Items'!$A63)</f>
        <v/>
      </c>
      <c r="B63" s="8">
        <f>IF($A63="","",'Items'!$B63)</f>
        <v/>
      </c>
      <c r="C63" s="8">
        <f>IF($A63="","",'Items'!$K63)</f>
        <v/>
      </c>
      <c r="D63" s="8">
        <f>IF($A63="","",'Items'!$E63)</f>
        <v/>
      </c>
      <c r="E63" s="8">
        <f>IF($A63="","",'Items'!$D63)</f>
        <v/>
      </c>
      <c r="F63" s="16">
        <f>IF($A63="","",SUMIFS('Batches'!$E$3:$E$302,'Batches'!$A$3:$A$302,$A63,'Batches'!$G$3:$G$302,$C63)+SUMIFS('Movements'!$F$3:$F$1002,'Movements'!$B$3:$B$1002,$A63,'Movements'!$E$3:$E$1002,"In",'Movements'!$H$3:$H$1002,$C63)-SUMIFS('Movements'!$F$3:$F$1002,'Movements'!$B$3:$B$1002,$A63,'Movements'!$E$3:$E$1002,"Out",'Movements'!$G$3:$G$1002,$C63)-SUMIFS('Movements'!$F$3:$F$1002,'Movements'!$B$3:$B$1002,$A63,'Movements'!$E$3:$E$1002,"Waste",'Movements'!$G$3:$G$1002,$C63)+SUMIFS('Movements'!$F$3:$F$1002,'Movements'!$B$3:$B$1002,$A63,'Movements'!$E$3:$E$1002,"Transfer",'Movements'!$H$3:$H$1002,$C63)-SUMIFS('Movements'!$F$3:$F$1002,'Movements'!$B$3:$B$1002,$A63,'Movements'!$E$3:$E$1002,"Transfer",'Movements'!$G$3:$G$1002,$C63))</f>
        <v/>
      </c>
      <c r="G63" s="15">
        <f>IF($A63="","",'Items'!$I63)</f>
        <v/>
      </c>
      <c r="H63" s="8">
        <f>IF(OR($A63="",$G63=""),"",IF($F63&lt;$G63,"Below minimum","OK"))</f>
        <v/>
      </c>
      <c r="I63" s="18">
        <f>IF($A63="","",IF(SUMPRODUCT(SMALL(('Batches'!$A$3:$A$302=$A63)*('Batches'!$G$3:$G$302=$C63)*('Batches'!$D$3:$D$302&gt;0)*('Batches'!$H$3:$H$302&gt;0)*'Batches'!$D$3:$D$302+(1-('Batches'!$A$3:$A$302=$A63)*('Batches'!$G$3:$G$302=$C63)*('Batches'!$D$3:$D$302&gt;0)*('Batches'!$H$3:$H$302&gt;0))*100000,1))&gt;=100000,"",SUMPRODUCT(SMALL(('Batches'!$A$3:$A$302=$A63)*('Batches'!$G$3:$G$302=$C63)*('Batches'!$D$3:$D$302&gt;0)*('Batches'!$H$3:$H$302&gt;0)*'Batches'!$D$3:$D$302+(1-('Batches'!$A$3:$A$302=$A63)*('Batches'!$G$3:$G$302=$C63)*('Batches'!$D$3:$D$302&gt;0)*('Batches'!$H$3:$H$302&gt;0))*100000,1))))</f>
        <v/>
      </c>
      <c r="J63" s="16">
        <f>IF($A63="","",SUMIFS('Batches'!$H$3:$H$302,'Batches'!$A$3:$A$302,$A63,'Batches'!$G$3:$G$302,$C63,'Batches'!$D$3:$D$302,"&gt;0",'Batches'!$D$3:$D$302,"&lt;="&amp;('Settings'!$B$6+'Settings'!$B$7)))</f>
        <v/>
      </c>
      <c r="K63" s="19">
        <f>IF($A63="","",'Items'!$F63)</f>
        <v/>
      </c>
      <c r="L63" s="19">
        <f>IF($A63="","",$F63*$K63)</f>
        <v/>
      </c>
      <c r="M63" s="16">
        <f>IF($A63="","",IF(AND($H63="Below minimum",OR('Order list'!$B$4="",$D63='Order list'!$B$4)),IFERROR(MATCH($D63,Suppliers,0),99)*10000+ROW(),""))</f>
        <v/>
      </c>
    </row>
    <row r="64">
      <c r="A64" s="8">
        <f>IF('Items'!$A64="","",'Items'!$A64)</f>
        <v/>
      </c>
      <c r="B64" s="8">
        <f>IF($A64="","",'Items'!$B64)</f>
        <v/>
      </c>
      <c r="C64" s="8">
        <f>IF($A64="","",'Items'!$K64)</f>
        <v/>
      </c>
      <c r="D64" s="8">
        <f>IF($A64="","",'Items'!$E64)</f>
        <v/>
      </c>
      <c r="E64" s="8">
        <f>IF($A64="","",'Items'!$D64)</f>
        <v/>
      </c>
      <c r="F64" s="16">
        <f>IF($A64="","",SUMIFS('Batches'!$E$3:$E$302,'Batches'!$A$3:$A$302,$A64,'Batches'!$G$3:$G$302,$C64)+SUMIFS('Movements'!$F$3:$F$1002,'Movements'!$B$3:$B$1002,$A64,'Movements'!$E$3:$E$1002,"In",'Movements'!$H$3:$H$1002,$C64)-SUMIFS('Movements'!$F$3:$F$1002,'Movements'!$B$3:$B$1002,$A64,'Movements'!$E$3:$E$1002,"Out",'Movements'!$G$3:$G$1002,$C64)-SUMIFS('Movements'!$F$3:$F$1002,'Movements'!$B$3:$B$1002,$A64,'Movements'!$E$3:$E$1002,"Waste",'Movements'!$G$3:$G$1002,$C64)+SUMIFS('Movements'!$F$3:$F$1002,'Movements'!$B$3:$B$1002,$A64,'Movements'!$E$3:$E$1002,"Transfer",'Movements'!$H$3:$H$1002,$C64)-SUMIFS('Movements'!$F$3:$F$1002,'Movements'!$B$3:$B$1002,$A64,'Movements'!$E$3:$E$1002,"Transfer",'Movements'!$G$3:$G$1002,$C64))</f>
        <v/>
      </c>
      <c r="G64" s="15">
        <f>IF($A64="","",'Items'!$I64)</f>
        <v/>
      </c>
      <c r="H64" s="8">
        <f>IF(OR($A64="",$G64=""),"",IF($F64&lt;$G64,"Below minimum","OK"))</f>
        <v/>
      </c>
      <c r="I64" s="18">
        <f>IF($A64="","",IF(SUMPRODUCT(SMALL(('Batches'!$A$3:$A$302=$A64)*('Batches'!$G$3:$G$302=$C64)*('Batches'!$D$3:$D$302&gt;0)*('Batches'!$H$3:$H$302&gt;0)*'Batches'!$D$3:$D$302+(1-('Batches'!$A$3:$A$302=$A64)*('Batches'!$G$3:$G$302=$C64)*('Batches'!$D$3:$D$302&gt;0)*('Batches'!$H$3:$H$302&gt;0))*100000,1))&gt;=100000,"",SUMPRODUCT(SMALL(('Batches'!$A$3:$A$302=$A64)*('Batches'!$G$3:$G$302=$C64)*('Batches'!$D$3:$D$302&gt;0)*('Batches'!$H$3:$H$302&gt;0)*'Batches'!$D$3:$D$302+(1-('Batches'!$A$3:$A$302=$A64)*('Batches'!$G$3:$G$302=$C64)*('Batches'!$D$3:$D$302&gt;0)*('Batches'!$H$3:$H$302&gt;0))*100000,1))))</f>
        <v/>
      </c>
      <c r="J64" s="16">
        <f>IF($A64="","",SUMIFS('Batches'!$H$3:$H$302,'Batches'!$A$3:$A$302,$A64,'Batches'!$G$3:$G$302,$C64,'Batches'!$D$3:$D$302,"&gt;0",'Batches'!$D$3:$D$302,"&lt;="&amp;('Settings'!$B$6+'Settings'!$B$7)))</f>
        <v/>
      </c>
      <c r="K64" s="19">
        <f>IF($A64="","",'Items'!$F64)</f>
        <v/>
      </c>
      <c r="L64" s="19">
        <f>IF($A64="","",$F64*$K64)</f>
        <v/>
      </c>
      <c r="M64" s="16">
        <f>IF($A64="","",IF(AND($H64="Below minimum",OR('Order list'!$B$4="",$D64='Order list'!$B$4)),IFERROR(MATCH($D64,Suppliers,0),99)*10000+ROW(),""))</f>
        <v/>
      </c>
    </row>
    <row r="65">
      <c r="A65" s="8">
        <f>IF('Items'!$A65="","",'Items'!$A65)</f>
        <v/>
      </c>
      <c r="B65" s="8">
        <f>IF($A65="","",'Items'!$B65)</f>
        <v/>
      </c>
      <c r="C65" s="8">
        <f>IF($A65="","",'Items'!$K65)</f>
        <v/>
      </c>
      <c r="D65" s="8">
        <f>IF($A65="","",'Items'!$E65)</f>
        <v/>
      </c>
      <c r="E65" s="8">
        <f>IF($A65="","",'Items'!$D65)</f>
        <v/>
      </c>
      <c r="F65" s="16">
        <f>IF($A65="","",SUMIFS('Batches'!$E$3:$E$302,'Batches'!$A$3:$A$302,$A65,'Batches'!$G$3:$G$302,$C65)+SUMIFS('Movements'!$F$3:$F$1002,'Movements'!$B$3:$B$1002,$A65,'Movements'!$E$3:$E$1002,"In",'Movements'!$H$3:$H$1002,$C65)-SUMIFS('Movements'!$F$3:$F$1002,'Movements'!$B$3:$B$1002,$A65,'Movements'!$E$3:$E$1002,"Out",'Movements'!$G$3:$G$1002,$C65)-SUMIFS('Movements'!$F$3:$F$1002,'Movements'!$B$3:$B$1002,$A65,'Movements'!$E$3:$E$1002,"Waste",'Movements'!$G$3:$G$1002,$C65)+SUMIFS('Movements'!$F$3:$F$1002,'Movements'!$B$3:$B$1002,$A65,'Movements'!$E$3:$E$1002,"Transfer",'Movements'!$H$3:$H$1002,$C65)-SUMIFS('Movements'!$F$3:$F$1002,'Movements'!$B$3:$B$1002,$A65,'Movements'!$E$3:$E$1002,"Transfer",'Movements'!$G$3:$G$1002,$C65))</f>
        <v/>
      </c>
      <c r="G65" s="15">
        <f>IF($A65="","",'Items'!$I65)</f>
        <v/>
      </c>
      <c r="H65" s="8">
        <f>IF(OR($A65="",$G65=""),"",IF($F65&lt;$G65,"Below minimum","OK"))</f>
        <v/>
      </c>
      <c r="I65" s="18">
        <f>IF($A65="","",IF(SUMPRODUCT(SMALL(('Batches'!$A$3:$A$302=$A65)*('Batches'!$G$3:$G$302=$C65)*('Batches'!$D$3:$D$302&gt;0)*('Batches'!$H$3:$H$302&gt;0)*'Batches'!$D$3:$D$302+(1-('Batches'!$A$3:$A$302=$A65)*('Batches'!$G$3:$G$302=$C65)*('Batches'!$D$3:$D$302&gt;0)*('Batches'!$H$3:$H$302&gt;0))*100000,1))&gt;=100000,"",SUMPRODUCT(SMALL(('Batches'!$A$3:$A$302=$A65)*('Batches'!$G$3:$G$302=$C65)*('Batches'!$D$3:$D$302&gt;0)*('Batches'!$H$3:$H$302&gt;0)*'Batches'!$D$3:$D$302+(1-('Batches'!$A$3:$A$302=$A65)*('Batches'!$G$3:$G$302=$C65)*('Batches'!$D$3:$D$302&gt;0)*('Batches'!$H$3:$H$302&gt;0))*100000,1))))</f>
        <v/>
      </c>
      <c r="J65" s="16">
        <f>IF($A65="","",SUMIFS('Batches'!$H$3:$H$302,'Batches'!$A$3:$A$302,$A65,'Batches'!$G$3:$G$302,$C65,'Batches'!$D$3:$D$302,"&gt;0",'Batches'!$D$3:$D$302,"&lt;="&amp;('Settings'!$B$6+'Settings'!$B$7)))</f>
        <v/>
      </c>
      <c r="K65" s="19">
        <f>IF($A65="","",'Items'!$F65)</f>
        <v/>
      </c>
      <c r="L65" s="19">
        <f>IF($A65="","",$F65*$K65)</f>
        <v/>
      </c>
      <c r="M65" s="16">
        <f>IF($A65="","",IF(AND($H65="Below minimum",OR('Order list'!$B$4="",$D65='Order list'!$B$4)),IFERROR(MATCH($D65,Suppliers,0),99)*10000+ROW(),""))</f>
        <v/>
      </c>
    </row>
    <row r="66">
      <c r="A66" s="8">
        <f>IF('Items'!$A66="","",'Items'!$A66)</f>
        <v/>
      </c>
      <c r="B66" s="8">
        <f>IF($A66="","",'Items'!$B66)</f>
        <v/>
      </c>
      <c r="C66" s="8">
        <f>IF($A66="","",'Items'!$K66)</f>
        <v/>
      </c>
      <c r="D66" s="8">
        <f>IF($A66="","",'Items'!$E66)</f>
        <v/>
      </c>
      <c r="E66" s="8">
        <f>IF($A66="","",'Items'!$D66)</f>
        <v/>
      </c>
      <c r="F66" s="16">
        <f>IF($A66="","",SUMIFS('Batches'!$E$3:$E$302,'Batches'!$A$3:$A$302,$A66,'Batches'!$G$3:$G$302,$C66)+SUMIFS('Movements'!$F$3:$F$1002,'Movements'!$B$3:$B$1002,$A66,'Movements'!$E$3:$E$1002,"In",'Movements'!$H$3:$H$1002,$C66)-SUMIFS('Movements'!$F$3:$F$1002,'Movements'!$B$3:$B$1002,$A66,'Movements'!$E$3:$E$1002,"Out",'Movements'!$G$3:$G$1002,$C66)-SUMIFS('Movements'!$F$3:$F$1002,'Movements'!$B$3:$B$1002,$A66,'Movements'!$E$3:$E$1002,"Waste",'Movements'!$G$3:$G$1002,$C66)+SUMIFS('Movements'!$F$3:$F$1002,'Movements'!$B$3:$B$1002,$A66,'Movements'!$E$3:$E$1002,"Transfer",'Movements'!$H$3:$H$1002,$C66)-SUMIFS('Movements'!$F$3:$F$1002,'Movements'!$B$3:$B$1002,$A66,'Movements'!$E$3:$E$1002,"Transfer",'Movements'!$G$3:$G$1002,$C66))</f>
        <v/>
      </c>
      <c r="G66" s="15">
        <f>IF($A66="","",'Items'!$I66)</f>
        <v/>
      </c>
      <c r="H66" s="8">
        <f>IF(OR($A66="",$G66=""),"",IF($F66&lt;$G66,"Below minimum","OK"))</f>
        <v/>
      </c>
      <c r="I66" s="18">
        <f>IF($A66="","",IF(SUMPRODUCT(SMALL(('Batches'!$A$3:$A$302=$A66)*('Batches'!$G$3:$G$302=$C66)*('Batches'!$D$3:$D$302&gt;0)*('Batches'!$H$3:$H$302&gt;0)*'Batches'!$D$3:$D$302+(1-('Batches'!$A$3:$A$302=$A66)*('Batches'!$G$3:$G$302=$C66)*('Batches'!$D$3:$D$302&gt;0)*('Batches'!$H$3:$H$302&gt;0))*100000,1))&gt;=100000,"",SUMPRODUCT(SMALL(('Batches'!$A$3:$A$302=$A66)*('Batches'!$G$3:$G$302=$C66)*('Batches'!$D$3:$D$302&gt;0)*('Batches'!$H$3:$H$302&gt;0)*'Batches'!$D$3:$D$302+(1-('Batches'!$A$3:$A$302=$A66)*('Batches'!$G$3:$G$302=$C66)*('Batches'!$D$3:$D$302&gt;0)*('Batches'!$H$3:$H$302&gt;0))*100000,1))))</f>
        <v/>
      </c>
      <c r="J66" s="16">
        <f>IF($A66="","",SUMIFS('Batches'!$H$3:$H$302,'Batches'!$A$3:$A$302,$A66,'Batches'!$G$3:$G$302,$C66,'Batches'!$D$3:$D$302,"&gt;0",'Batches'!$D$3:$D$302,"&lt;="&amp;('Settings'!$B$6+'Settings'!$B$7)))</f>
        <v/>
      </c>
      <c r="K66" s="19">
        <f>IF($A66="","",'Items'!$F66)</f>
        <v/>
      </c>
      <c r="L66" s="19">
        <f>IF($A66="","",$F66*$K66)</f>
        <v/>
      </c>
      <c r="M66" s="16">
        <f>IF($A66="","",IF(AND($H66="Below minimum",OR('Order list'!$B$4="",$D66='Order list'!$B$4)),IFERROR(MATCH($D66,Suppliers,0),99)*10000+ROW(),""))</f>
        <v/>
      </c>
    </row>
    <row r="67">
      <c r="A67" s="8">
        <f>IF('Items'!$A67="","",'Items'!$A67)</f>
        <v/>
      </c>
      <c r="B67" s="8">
        <f>IF($A67="","",'Items'!$B67)</f>
        <v/>
      </c>
      <c r="C67" s="8">
        <f>IF($A67="","",'Items'!$K67)</f>
        <v/>
      </c>
      <c r="D67" s="8">
        <f>IF($A67="","",'Items'!$E67)</f>
        <v/>
      </c>
      <c r="E67" s="8">
        <f>IF($A67="","",'Items'!$D67)</f>
        <v/>
      </c>
      <c r="F67" s="16">
        <f>IF($A67="","",SUMIFS('Batches'!$E$3:$E$302,'Batches'!$A$3:$A$302,$A67,'Batches'!$G$3:$G$302,$C67)+SUMIFS('Movements'!$F$3:$F$1002,'Movements'!$B$3:$B$1002,$A67,'Movements'!$E$3:$E$1002,"In",'Movements'!$H$3:$H$1002,$C67)-SUMIFS('Movements'!$F$3:$F$1002,'Movements'!$B$3:$B$1002,$A67,'Movements'!$E$3:$E$1002,"Out",'Movements'!$G$3:$G$1002,$C67)-SUMIFS('Movements'!$F$3:$F$1002,'Movements'!$B$3:$B$1002,$A67,'Movements'!$E$3:$E$1002,"Waste",'Movements'!$G$3:$G$1002,$C67)+SUMIFS('Movements'!$F$3:$F$1002,'Movements'!$B$3:$B$1002,$A67,'Movements'!$E$3:$E$1002,"Transfer",'Movements'!$H$3:$H$1002,$C67)-SUMIFS('Movements'!$F$3:$F$1002,'Movements'!$B$3:$B$1002,$A67,'Movements'!$E$3:$E$1002,"Transfer",'Movements'!$G$3:$G$1002,$C67))</f>
        <v/>
      </c>
      <c r="G67" s="15">
        <f>IF($A67="","",'Items'!$I67)</f>
        <v/>
      </c>
      <c r="H67" s="8">
        <f>IF(OR($A67="",$G67=""),"",IF($F67&lt;$G67,"Below minimum","OK"))</f>
        <v/>
      </c>
      <c r="I67" s="18">
        <f>IF($A67="","",IF(SUMPRODUCT(SMALL(('Batches'!$A$3:$A$302=$A67)*('Batches'!$G$3:$G$302=$C67)*('Batches'!$D$3:$D$302&gt;0)*('Batches'!$H$3:$H$302&gt;0)*'Batches'!$D$3:$D$302+(1-('Batches'!$A$3:$A$302=$A67)*('Batches'!$G$3:$G$302=$C67)*('Batches'!$D$3:$D$302&gt;0)*('Batches'!$H$3:$H$302&gt;0))*100000,1))&gt;=100000,"",SUMPRODUCT(SMALL(('Batches'!$A$3:$A$302=$A67)*('Batches'!$G$3:$G$302=$C67)*('Batches'!$D$3:$D$302&gt;0)*('Batches'!$H$3:$H$302&gt;0)*'Batches'!$D$3:$D$302+(1-('Batches'!$A$3:$A$302=$A67)*('Batches'!$G$3:$G$302=$C67)*('Batches'!$D$3:$D$302&gt;0)*('Batches'!$H$3:$H$302&gt;0))*100000,1))))</f>
        <v/>
      </c>
      <c r="J67" s="16">
        <f>IF($A67="","",SUMIFS('Batches'!$H$3:$H$302,'Batches'!$A$3:$A$302,$A67,'Batches'!$G$3:$G$302,$C67,'Batches'!$D$3:$D$302,"&gt;0",'Batches'!$D$3:$D$302,"&lt;="&amp;('Settings'!$B$6+'Settings'!$B$7)))</f>
        <v/>
      </c>
      <c r="K67" s="19">
        <f>IF($A67="","",'Items'!$F67)</f>
        <v/>
      </c>
      <c r="L67" s="19">
        <f>IF($A67="","",$F67*$K67)</f>
        <v/>
      </c>
      <c r="M67" s="16">
        <f>IF($A67="","",IF(AND($H67="Below minimum",OR('Order list'!$B$4="",$D67='Order list'!$B$4)),IFERROR(MATCH($D67,Suppliers,0),99)*10000+ROW(),""))</f>
        <v/>
      </c>
    </row>
    <row r="68">
      <c r="A68" s="8">
        <f>IF('Items'!$A68="","",'Items'!$A68)</f>
        <v/>
      </c>
      <c r="B68" s="8">
        <f>IF($A68="","",'Items'!$B68)</f>
        <v/>
      </c>
      <c r="C68" s="8">
        <f>IF($A68="","",'Items'!$K68)</f>
        <v/>
      </c>
      <c r="D68" s="8">
        <f>IF($A68="","",'Items'!$E68)</f>
        <v/>
      </c>
      <c r="E68" s="8">
        <f>IF($A68="","",'Items'!$D68)</f>
        <v/>
      </c>
      <c r="F68" s="16">
        <f>IF($A68="","",SUMIFS('Batches'!$E$3:$E$302,'Batches'!$A$3:$A$302,$A68,'Batches'!$G$3:$G$302,$C68)+SUMIFS('Movements'!$F$3:$F$1002,'Movements'!$B$3:$B$1002,$A68,'Movements'!$E$3:$E$1002,"In",'Movements'!$H$3:$H$1002,$C68)-SUMIFS('Movements'!$F$3:$F$1002,'Movements'!$B$3:$B$1002,$A68,'Movements'!$E$3:$E$1002,"Out",'Movements'!$G$3:$G$1002,$C68)-SUMIFS('Movements'!$F$3:$F$1002,'Movements'!$B$3:$B$1002,$A68,'Movements'!$E$3:$E$1002,"Waste",'Movements'!$G$3:$G$1002,$C68)+SUMIFS('Movements'!$F$3:$F$1002,'Movements'!$B$3:$B$1002,$A68,'Movements'!$E$3:$E$1002,"Transfer",'Movements'!$H$3:$H$1002,$C68)-SUMIFS('Movements'!$F$3:$F$1002,'Movements'!$B$3:$B$1002,$A68,'Movements'!$E$3:$E$1002,"Transfer",'Movements'!$G$3:$G$1002,$C68))</f>
        <v/>
      </c>
      <c r="G68" s="15">
        <f>IF($A68="","",'Items'!$I68)</f>
        <v/>
      </c>
      <c r="H68" s="8">
        <f>IF(OR($A68="",$G68=""),"",IF($F68&lt;$G68,"Below minimum","OK"))</f>
        <v/>
      </c>
      <c r="I68" s="18">
        <f>IF($A68="","",IF(SUMPRODUCT(SMALL(('Batches'!$A$3:$A$302=$A68)*('Batches'!$G$3:$G$302=$C68)*('Batches'!$D$3:$D$302&gt;0)*('Batches'!$H$3:$H$302&gt;0)*'Batches'!$D$3:$D$302+(1-('Batches'!$A$3:$A$302=$A68)*('Batches'!$G$3:$G$302=$C68)*('Batches'!$D$3:$D$302&gt;0)*('Batches'!$H$3:$H$302&gt;0))*100000,1))&gt;=100000,"",SUMPRODUCT(SMALL(('Batches'!$A$3:$A$302=$A68)*('Batches'!$G$3:$G$302=$C68)*('Batches'!$D$3:$D$302&gt;0)*('Batches'!$H$3:$H$302&gt;0)*'Batches'!$D$3:$D$302+(1-('Batches'!$A$3:$A$302=$A68)*('Batches'!$G$3:$G$302=$C68)*('Batches'!$D$3:$D$302&gt;0)*('Batches'!$H$3:$H$302&gt;0))*100000,1))))</f>
        <v/>
      </c>
      <c r="J68" s="16">
        <f>IF($A68="","",SUMIFS('Batches'!$H$3:$H$302,'Batches'!$A$3:$A$302,$A68,'Batches'!$G$3:$G$302,$C68,'Batches'!$D$3:$D$302,"&gt;0",'Batches'!$D$3:$D$302,"&lt;="&amp;('Settings'!$B$6+'Settings'!$B$7)))</f>
        <v/>
      </c>
      <c r="K68" s="19">
        <f>IF($A68="","",'Items'!$F68)</f>
        <v/>
      </c>
      <c r="L68" s="19">
        <f>IF($A68="","",$F68*$K68)</f>
        <v/>
      </c>
      <c r="M68" s="16">
        <f>IF($A68="","",IF(AND($H68="Below minimum",OR('Order list'!$B$4="",$D68='Order list'!$B$4)),IFERROR(MATCH($D68,Suppliers,0),99)*10000+ROW(),""))</f>
        <v/>
      </c>
    </row>
    <row r="69">
      <c r="A69" s="8">
        <f>IF('Items'!$A69="","",'Items'!$A69)</f>
        <v/>
      </c>
      <c r="B69" s="8">
        <f>IF($A69="","",'Items'!$B69)</f>
        <v/>
      </c>
      <c r="C69" s="8">
        <f>IF($A69="","",'Items'!$K69)</f>
        <v/>
      </c>
      <c r="D69" s="8">
        <f>IF($A69="","",'Items'!$E69)</f>
        <v/>
      </c>
      <c r="E69" s="8">
        <f>IF($A69="","",'Items'!$D69)</f>
        <v/>
      </c>
      <c r="F69" s="16">
        <f>IF($A69="","",SUMIFS('Batches'!$E$3:$E$302,'Batches'!$A$3:$A$302,$A69,'Batches'!$G$3:$G$302,$C69)+SUMIFS('Movements'!$F$3:$F$1002,'Movements'!$B$3:$B$1002,$A69,'Movements'!$E$3:$E$1002,"In",'Movements'!$H$3:$H$1002,$C69)-SUMIFS('Movements'!$F$3:$F$1002,'Movements'!$B$3:$B$1002,$A69,'Movements'!$E$3:$E$1002,"Out",'Movements'!$G$3:$G$1002,$C69)-SUMIFS('Movements'!$F$3:$F$1002,'Movements'!$B$3:$B$1002,$A69,'Movements'!$E$3:$E$1002,"Waste",'Movements'!$G$3:$G$1002,$C69)+SUMIFS('Movements'!$F$3:$F$1002,'Movements'!$B$3:$B$1002,$A69,'Movements'!$E$3:$E$1002,"Transfer",'Movements'!$H$3:$H$1002,$C69)-SUMIFS('Movements'!$F$3:$F$1002,'Movements'!$B$3:$B$1002,$A69,'Movements'!$E$3:$E$1002,"Transfer",'Movements'!$G$3:$G$1002,$C69))</f>
        <v/>
      </c>
      <c r="G69" s="15">
        <f>IF($A69="","",'Items'!$I69)</f>
        <v/>
      </c>
      <c r="H69" s="8">
        <f>IF(OR($A69="",$G69=""),"",IF($F69&lt;$G69,"Below minimum","OK"))</f>
        <v/>
      </c>
      <c r="I69" s="18">
        <f>IF($A69="","",IF(SUMPRODUCT(SMALL(('Batches'!$A$3:$A$302=$A69)*('Batches'!$G$3:$G$302=$C69)*('Batches'!$D$3:$D$302&gt;0)*('Batches'!$H$3:$H$302&gt;0)*'Batches'!$D$3:$D$302+(1-('Batches'!$A$3:$A$302=$A69)*('Batches'!$G$3:$G$302=$C69)*('Batches'!$D$3:$D$302&gt;0)*('Batches'!$H$3:$H$302&gt;0))*100000,1))&gt;=100000,"",SUMPRODUCT(SMALL(('Batches'!$A$3:$A$302=$A69)*('Batches'!$G$3:$G$302=$C69)*('Batches'!$D$3:$D$302&gt;0)*('Batches'!$H$3:$H$302&gt;0)*'Batches'!$D$3:$D$302+(1-('Batches'!$A$3:$A$302=$A69)*('Batches'!$G$3:$G$302=$C69)*('Batches'!$D$3:$D$302&gt;0)*('Batches'!$H$3:$H$302&gt;0))*100000,1))))</f>
        <v/>
      </c>
      <c r="J69" s="16">
        <f>IF($A69="","",SUMIFS('Batches'!$H$3:$H$302,'Batches'!$A$3:$A$302,$A69,'Batches'!$G$3:$G$302,$C69,'Batches'!$D$3:$D$302,"&gt;0",'Batches'!$D$3:$D$302,"&lt;="&amp;('Settings'!$B$6+'Settings'!$B$7)))</f>
        <v/>
      </c>
      <c r="K69" s="19">
        <f>IF($A69="","",'Items'!$F69)</f>
        <v/>
      </c>
      <c r="L69" s="19">
        <f>IF($A69="","",$F69*$K69)</f>
        <v/>
      </c>
      <c r="M69" s="16">
        <f>IF($A69="","",IF(AND($H69="Below minimum",OR('Order list'!$B$4="",$D69='Order list'!$B$4)),IFERROR(MATCH($D69,Suppliers,0),99)*10000+ROW(),""))</f>
        <v/>
      </c>
    </row>
    <row r="70">
      <c r="A70" s="8">
        <f>IF('Items'!$A70="","",'Items'!$A70)</f>
        <v/>
      </c>
      <c r="B70" s="8">
        <f>IF($A70="","",'Items'!$B70)</f>
        <v/>
      </c>
      <c r="C70" s="8">
        <f>IF($A70="","",'Items'!$K70)</f>
        <v/>
      </c>
      <c r="D70" s="8">
        <f>IF($A70="","",'Items'!$E70)</f>
        <v/>
      </c>
      <c r="E70" s="8">
        <f>IF($A70="","",'Items'!$D70)</f>
        <v/>
      </c>
      <c r="F70" s="16">
        <f>IF($A70="","",SUMIFS('Batches'!$E$3:$E$302,'Batches'!$A$3:$A$302,$A70,'Batches'!$G$3:$G$302,$C70)+SUMIFS('Movements'!$F$3:$F$1002,'Movements'!$B$3:$B$1002,$A70,'Movements'!$E$3:$E$1002,"In",'Movements'!$H$3:$H$1002,$C70)-SUMIFS('Movements'!$F$3:$F$1002,'Movements'!$B$3:$B$1002,$A70,'Movements'!$E$3:$E$1002,"Out",'Movements'!$G$3:$G$1002,$C70)-SUMIFS('Movements'!$F$3:$F$1002,'Movements'!$B$3:$B$1002,$A70,'Movements'!$E$3:$E$1002,"Waste",'Movements'!$G$3:$G$1002,$C70)+SUMIFS('Movements'!$F$3:$F$1002,'Movements'!$B$3:$B$1002,$A70,'Movements'!$E$3:$E$1002,"Transfer",'Movements'!$H$3:$H$1002,$C70)-SUMIFS('Movements'!$F$3:$F$1002,'Movements'!$B$3:$B$1002,$A70,'Movements'!$E$3:$E$1002,"Transfer",'Movements'!$G$3:$G$1002,$C70))</f>
        <v/>
      </c>
      <c r="G70" s="15">
        <f>IF($A70="","",'Items'!$I70)</f>
        <v/>
      </c>
      <c r="H70" s="8">
        <f>IF(OR($A70="",$G70=""),"",IF($F70&lt;$G70,"Below minimum","OK"))</f>
        <v/>
      </c>
      <c r="I70" s="18">
        <f>IF($A70="","",IF(SUMPRODUCT(SMALL(('Batches'!$A$3:$A$302=$A70)*('Batches'!$G$3:$G$302=$C70)*('Batches'!$D$3:$D$302&gt;0)*('Batches'!$H$3:$H$302&gt;0)*'Batches'!$D$3:$D$302+(1-('Batches'!$A$3:$A$302=$A70)*('Batches'!$G$3:$G$302=$C70)*('Batches'!$D$3:$D$302&gt;0)*('Batches'!$H$3:$H$302&gt;0))*100000,1))&gt;=100000,"",SUMPRODUCT(SMALL(('Batches'!$A$3:$A$302=$A70)*('Batches'!$G$3:$G$302=$C70)*('Batches'!$D$3:$D$302&gt;0)*('Batches'!$H$3:$H$302&gt;0)*'Batches'!$D$3:$D$302+(1-('Batches'!$A$3:$A$302=$A70)*('Batches'!$G$3:$G$302=$C70)*('Batches'!$D$3:$D$302&gt;0)*('Batches'!$H$3:$H$302&gt;0))*100000,1))))</f>
        <v/>
      </c>
      <c r="J70" s="16">
        <f>IF($A70="","",SUMIFS('Batches'!$H$3:$H$302,'Batches'!$A$3:$A$302,$A70,'Batches'!$G$3:$G$302,$C70,'Batches'!$D$3:$D$302,"&gt;0",'Batches'!$D$3:$D$302,"&lt;="&amp;('Settings'!$B$6+'Settings'!$B$7)))</f>
        <v/>
      </c>
      <c r="K70" s="19">
        <f>IF($A70="","",'Items'!$F70)</f>
        <v/>
      </c>
      <c r="L70" s="19">
        <f>IF($A70="","",$F70*$K70)</f>
        <v/>
      </c>
      <c r="M70" s="16">
        <f>IF($A70="","",IF(AND($H70="Below minimum",OR('Order list'!$B$4="",$D70='Order list'!$B$4)),IFERROR(MATCH($D70,Suppliers,0),99)*10000+ROW(),""))</f>
        <v/>
      </c>
    </row>
    <row r="71">
      <c r="A71" s="8">
        <f>IF('Items'!$A71="","",'Items'!$A71)</f>
        <v/>
      </c>
      <c r="B71" s="8">
        <f>IF($A71="","",'Items'!$B71)</f>
        <v/>
      </c>
      <c r="C71" s="8">
        <f>IF($A71="","",'Items'!$K71)</f>
        <v/>
      </c>
      <c r="D71" s="8">
        <f>IF($A71="","",'Items'!$E71)</f>
        <v/>
      </c>
      <c r="E71" s="8">
        <f>IF($A71="","",'Items'!$D71)</f>
        <v/>
      </c>
      <c r="F71" s="16">
        <f>IF($A71="","",SUMIFS('Batches'!$E$3:$E$302,'Batches'!$A$3:$A$302,$A71,'Batches'!$G$3:$G$302,$C71)+SUMIFS('Movements'!$F$3:$F$1002,'Movements'!$B$3:$B$1002,$A71,'Movements'!$E$3:$E$1002,"In",'Movements'!$H$3:$H$1002,$C71)-SUMIFS('Movements'!$F$3:$F$1002,'Movements'!$B$3:$B$1002,$A71,'Movements'!$E$3:$E$1002,"Out",'Movements'!$G$3:$G$1002,$C71)-SUMIFS('Movements'!$F$3:$F$1002,'Movements'!$B$3:$B$1002,$A71,'Movements'!$E$3:$E$1002,"Waste",'Movements'!$G$3:$G$1002,$C71)+SUMIFS('Movements'!$F$3:$F$1002,'Movements'!$B$3:$B$1002,$A71,'Movements'!$E$3:$E$1002,"Transfer",'Movements'!$H$3:$H$1002,$C71)-SUMIFS('Movements'!$F$3:$F$1002,'Movements'!$B$3:$B$1002,$A71,'Movements'!$E$3:$E$1002,"Transfer",'Movements'!$G$3:$G$1002,$C71))</f>
        <v/>
      </c>
      <c r="G71" s="15">
        <f>IF($A71="","",'Items'!$I71)</f>
        <v/>
      </c>
      <c r="H71" s="8">
        <f>IF(OR($A71="",$G71=""),"",IF($F71&lt;$G71,"Below minimum","OK"))</f>
        <v/>
      </c>
      <c r="I71" s="18">
        <f>IF($A71="","",IF(SUMPRODUCT(SMALL(('Batches'!$A$3:$A$302=$A71)*('Batches'!$G$3:$G$302=$C71)*('Batches'!$D$3:$D$302&gt;0)*('Batches'!$H$3:$H$302&gt;0)*'Batches'!$D$3:$D$302+(1-('Batches'!$A$3:$A$302=$A71)*('Batches'!$G$3:$G$302=$C71)*('Batches'!$D$3:$D$302&gt;0)*('Batches'!$H$3:$H$302&gt;0))*100000,1))&gt;=100000,"",SUMPRODUCT(SMALL(('Batches'!$A$3:$A$302=$A71)*('Batches'!$G$3:$G$302=$C71)*('Batches'!$D$3:$D$302&gt;0)*('Batches'!$H$3:$H$302&gt;0)*'Batches'!$D$3:$D$302+(1-('Batches'!$A$3:$A$302=$A71)*('Batches'!$G$3:$G$302=$C71)*('Batches'!$D$3:$D$302&gt;0)*('Batches'!$H$3:$H$302&gt;0))*100000,1))))</f>
        <v/>
      </c>
      <c r="J71" s="16">
        <f>IF($A71="","",SUMIFS('Batches'!$H$3:$H$302,'Batches'!$A$3:$A$302,$A71,'Batches'!$G$3:$G$302,$C71,'Batches'!$D$3:$D$302,"&gt;0",'Batches'!$D$3:$D$302,"&lt;="&amp;('Settings'!$B$6+'Settings'!$B$7)))</f>
        <v/>
      </c>
      <c r="K71" s="19">
        <f>IF($A71="","",'Items'!$F71)</f>
        <v/>
      </c>
      <c r="L71" s="19">
        <f>IF($A71="","",$F71*$K71)</f>
        <v/>
      </c>
      <c r="M71" s="16">
        <f>IF($A71="","",IF(AND($H71="Below minimum",OR('Order list'!$B$4="",$D71='Order list'!$B$4)),IFERROR(MATCH($D71,Suppliers,0),99)*10000+ROW(),""))</f>
        <v/>
      </c>
    </row>
    <row r="72">
      <c r="A72" s="8">
        <f>IF('Items'!$A72="","",'Items'!$A72)</f>
        <v/>
      </c>
      <c r="B72" s="8">
        <f>IF($A72="","",'Items'!$B72)</f>
        <v/>
      </c>
      <c r="C72" s="8">
        <f>IF($A72="","",'Items'!$K72)</f>
        <v/>
      </c>
      <c r="D72" s="8">
        <f>IF($A72="","",'Items'!$E72)</f>
        <v/>
      </c>
      <c r="E72" s="8">
        <f>IF($A72="","",'Items'!$D72)</f>
        <v/>
      </c>
      <c r="F72" s="16">
        <f>IF($A72="","",SUMIFS('Batches'!$E$3:$E$302,'Batches'!$A$3:$A$302,$A72,'Batches'!$G$3:$G$302,$C72)+SUMIFS('Movements'!$F$3:$F$1002,'Movements'!$B$3:$B$1002,$A72,'Movements'!$E$3:$E$1002,"In",'Movements'!$H$3:$H$1002,$C72)-SUMIFS('Movements'!$F$3:$F$1002,'Movements'!$B$3:$B$1002,$A72,'Movements'!$E$3:$E$1002,"Out",'Movements'!$G$3:$G$1002,$C72)-SUMIFS('Movements'!$F$3:$F$1002,'Movements'!$B$3:$B$1002,$A72,'Movements'!$E$3:$E$1002,"Waste",'Movements'!$G$3:$G$1002,$C72)+SUMIFS('Movements'!$F$3:$F$1002,'Movements'!$B$3:$B$1002,$A72,'Movements'!$E$3:$E$1002,"Transfer",'Movements'!$H$3:$H$1002,$C72)-SUMIFS('Movements'!$F$3:$F$1002,'Movements'!$B$3:$B$1002,$A72,'Movements'!$E$3:$E$1002,"Transfer",'Movements'!$G$3:$G$1002,$C72))</f>
        <v/>
      </c>
      <c r="G72" s="15">
        <f>IF($A72="","",'Items'!$I72)</f>
        <v/>
      </c>
      <c r="H72" s="8">
        <f>IF(OR($A72="",$G72=""),"",IF($F72&lt;$G72,"Below minimum","OK"))</f>
        <v/>
      </c>
      <c r="I72" s="18">
        <f>IF($A72="","",IF(SUMPRODUCT(SMALL(('Batches'!$A$3:$A$302=$A72)*('Batches'!$G$3:$G$302=$C72)*('Batches'!$D$3:$D$302&gt;0)*('Batches'!$H$3:$H$302&gt;0)*'Batches'!$D$3:$D$302+(1-('Batches'!$A$3:$A$302=$A72)*('Batches'!$G$3:$G$302=$C72)*('Batches'!$D$3:$D$302&gt;0)*('Batches'!$H$3:$H$302&gt;0))*100000,1))&gt;=100000,"",SUMPRODUCT(SMALL(('Batches'!$A$3:$A$302=$A72)*('Batches'!$G$3:$G$302=$C72)*('Batches'!$D$3:$D$302&gt;0)*('Batches'!$H$3:$H$302&gt;0)*'Batches'!$D$3:$D$302+(1-('Batches'!$A$3:$A$302=$A72)*('Batches'!$G$3:$G$302=$C72)*('Batches'!$D$3:$D$302&gt;0)*('Batches'!$H$3:$H$302&gt;0))*100000,1))))</f>
        <v/>
      </c>
      <c r="J72" s="16">
        <f>IF($A72="","",SUMIFS('Batches'!$H$3:$H$302,'Batches'!$A$3:$A$302,$A72,'Batches'!$G$3:$G$302,$C72,'Batches'!$D$3:$D$302,"&gt;0",'Batches'!$D$3:$D$302,"&lt;="&amp;('Settings'!$B$6+'Settings'!$B$7)))</f>
        <v/>
      </c>
      <c r="K72" s="19">
        <f>IF($A72="","",'Items'!$F72)</f>
        <v/>
      </c>
      <c r="L72" s="19">
        <f>IF($A72="","",$F72*$K72)</f>
        <v/>
      </c>
      <c r="M72" s="16">
        <f>IF($A72="","",IF(AND($H72="Below minimum",OR('Order list'!$B$4="",$D72='Order list'!$B$4)),IFERROR(MATCH($D72,Suppliers,0),99)*10000+ROW(),""))</f>
        <v/>
      </c>
    </row>
    <row r="73">
      <c r="A73" s="8">
        <f>IF('Items'!$A73="","",'Items'!$A73)</f>
        <v/>
      </c>
      <c r="B73" s="8">
        <f>IF($A73="","",'Items'!$B73)</f>
        <v/>
      </c>
      <c r="C73" s="8">
        <f>IF($A73="","",'Items'!$K73)</f>
        <v/>
      </c>
      <c r="D73" s="8">
        <f>IF($A73="","",'Items'!$E73)</f>
        <v/>
      </c>
      <c r="E73" s="8">
        <f>IF($A73="","",'Items'!$D73)</f>
        <v/>
      </c>
      <c r="F73" s="16">
        <f>IF($A73="","",SUMIFS('Batches'!$E$3:$E$302,'Batches'!$A$3:$A$302,$A73,'Batches'!$G$3:$G$302,$C73)+SUMIFS('Movements'!$F$3:$F$1002,'Movements'!$B$3:$B$1002,$A73,'Movements'!$E$3:$E$1002,"In",'Movements'!$H$3:$H$1002,$C73)-SUMIFS('Movements'!$F$3:$F$1002,'Movements'!$B$3:$B$1002,$A73,'Movements'!$E$3:$E$1002,"Out",'Movements'!$G$3:$G$1002,$C73)-SUMIFS('Movements'!$F$3:$F$1002,'Movements'!$B$3:$B$1002,$A73,'Movements'!$E$3:$E$1002,"Waste",'Movements'!$G$3:$G$1002,$C73)+SUMIFS('Movements'!$F$3:$F$1002,'Movements'!$B$3:$B$1002,$A73,'Movements'!$E$3:$E$1002,"Transfer",'Movements'!$H$3:$H$1002,$C73)-SUMIFS('Movements'!$F$3:$F$1002,'Movements'!$B$3:$B$1002,$A73,'Movements'!$E$3:$E$1002,"Transfer",'Movements'!$G$3:$G$1002,$C73))</f>
        <v/>
      </c>
      <c r="G73" s="15">
        <f>IF($A73="","",'Items'!$I73)</f>
        <v/>
      </c>
      <c r="H73" s="8">
        <f>IF(OR($A73="",$G73=""),"",IF($F73&lt;$G73,"Below minimum","OK"))</f>
        <v/>
      </c>
      <c r="I73" s="18">
        <f>IF($A73="","",IF(SUMPRODUCT(SMALL(('Batches'!$A$3:$A$302=$A73)*('Batches'!$G$3:$G$302=$C73)*('Batches'!$D$3:$D$302&gt;0)*('Batches'!$H$3:$H$302&gt;0)*'Batches'!$D$3:$D$302+(1-('Batches'!$A$3:$A$302=$A73)*('Batches'!$G$3:$G$302=$C73)*('Batches'!$D$3:$D$302&gt;0)*('Batches'!$H$3:$H$302&gt;0))*100000,1))&gt;=100000,"",SUMPRODUCT(SMALL(('Batches'!$A$3:$A$302=$A73)*('Batches'!$G$3:$G$302=$C73)*('Batches'!$D$3:$D$302&gt;0)*('Batches'!$H$3:$H$302&gt;0)*'Batches'!$D$3:$D$302+(1-('Batches'!$A$3:$A$302=$A73)*('Batches'!$G$3:$G$302=$C73)*('Batches'!$D$3:$D$302&gt;0)*('Batches'!$H$3:$H$302&gt;0))*100000,1))))</f>
        <v/>
      </c>
      <c r="J73" s="16">
        <f>IF($A73="","",SUMIFS('Batches'!$H$3:$H$302,'Batches'!$A$3:$A$302,$A73,'Batches'!$G$3:$G$302,$C73,'Batches'!$D$3:$D$302,"&gt;0",'Batches'!$D$3:$D$302,"&lt;="&amp;('Settings'!$B$6+'Settings'!$B$7)))</f>
        <v/>
      </c>
      <c r="K73" s="19">
        <f>IF($A73="","",'Items'!$F73)</f>
        <v/>
      </c>
      <c r="L73" s="19">
        <f>IF($A73="","",$F73*$K73)</f>
        <v/>
      </c>
      <c r="M73" s="16">
        <f>IF($A73="","",IF(AND($H73="Below minimum",OR('Order list'!$B$4="",$D73='Order list'!$B$4)),IFERROR(MATCH($D73,Suppliers,0),99)*10000+ROW(),""))</f>
        <v/>
      </c>
    </row>
    <row r="74">
      <c r="A74" s="8">
        <f>IF('Items'!$A74="","",'Items'!$A74)</f>
        <v/>
      </c>
      <c r="B74" s="8">
        <f>IF($A74="","",'Items'!$B74)</f>
        <v/>
      </c>
      <c r="C74" s="8">
        <f>IF($A74="","",'Items'!$K74)</f>
        <v/>
      </c>
      <c r="D74" s="8">
        <f>IF($A74="","",'Items'!$E74)</f>
        <v/>
      </c>
      <c r="E74" s="8">
        <f>IF($A74="","",'Items'!$D74)</f>
        <v/>
      </c>
      <c r="F74" s="16">
        <f>IF($A74="","",SUMIFS('Batches'!$E$3:$E$302,'Batches'!$A$3:$A$302,$A74,'Batches'!$G$3:$G$302,$C74)+SUMIFS('Movements'!$F$3:$F$1002,'Movements'!$B$3:$B$1002,$A74,'Movements'!$E$3:$E$1002,"In",'Movements'!$H$3:$H$1002,$C74)-SUMIFS('Movements'!$F$3:$F$1002,'Movements'!$B$3:$B$1002,$A74,'Movements'!$E$3:$E$1002,"Out",'Movements'!$G$3:$G$1002,$C74)-SUMIFS('Movements'!$F$3:$F$1002,'Movements'!$B$3:$B$1002,$A74,'Movements'!$E$3:$E$1002,"Waste",'Movements'!$G$3:$G$1002,$C74)+SUMIFS('Movements'!$F$3:$F$1002,'Movements'!$B$3:$B$1002,$A74,'Movements'!$E$3:$E$1002,"Transfer",'Movements'!$H$3:$H$1002,$C74)-SUMIFS('Movements'!$F$3:$F$1002,'Movements'!$B$3:$B$1002,$A74,'Movements'!$E$3:$E$1002,"Transfer",'Movements'!$G$3:$G$1002,$C74))</f>
        <v/>
      </c>
      <c r="G74" s="15">
        <f>IF($A74="","",'Items'!$I74)</f>
        <v/>
      </c>
      <c r="H74" s="8">
        <f>IF(OR($A74="",$G74=""),"",IF($F74&lt;$G74,"Below minimum","OK"))</f>
        <v/>
      </c>
      <c r="I74" s="18">
        <f>IF($A74="","",IF(SUMPRODUCT(SMALL(('Batches'!$A$3:$A$302=$A74)*('Batches'!$G$3:$G$302=$C74)*('Batches'!$D$3:$D$302&gt;0)*('Batches'!$H$3:$H$302&gt;0)*'Batches'!$D$3:$D$302+(1-('Batches'!$A$3:$A$302=$A74)*('Batches'!$G$3:$G$302=$C74)*('Batches'!$D$3:$D$302&gt;0)*('Batches'!$H$3:$H$302&gt;0))*100000,1))&gt;=100000,"",SUMPRODUCT(SMALL(('Batches'!$A$3:$A$302=$A74)*('Batches'!$G$3:$G$302=$C74)*('Batches'!$D$3:$D$302&gt;0)*('Batches'!$H$3:$H$302&gt;0)*'Batches'!$D$3:$D$302+(1-('Batches'!$A$3:$A$302=$A74)*('Batches'!$G$3:$G$302=$C74)*('Batches'!$D$3:$D$302&gt;0)*('Batches'!$H$3:$H$302&gt;0))*100000,1))))</f>
        <v/>
      </c>
      <c r="J74" s="16">
        <f>IF($A74="","",SUMIFS('Batches'!$H$3:$H$302,'Batches'!$A$3:$A$302,$A74,'Batches'!$G$3:$G$302,$C74,'Batches'!$D$3:$D$302,"&gt;0",'Batches'!$D$3:$D$302,"&lt;="&amp;('Settings'!$B$6+'Settings'!$B$7)))</f>
        <v/>
      </c>
      <c r="K74" s="19">
        <f>IF($A74="","",'Items'!$F74)</f>
        <v/>
      </c>
      <c r="L74" s="19">
        <f>IF($A74="","",$F74*$K74)</f>
        <v/>
      </c>
      <c r="M74" s="16">
        <f>IF($A74="","",IF(AND($H74="Below minimum",OR('Order list'!$B$4="",$D74='Order list'!$B$4)),IFERROR(MATCH($D74,Suppliers,0),99)*10000+ROW(),""))</f>
        <v/>
      </c>
    </row>
    <row r="75">
      <c r="A75" s="8">
        <f>IF('Items'!$A75="","",'Items'!$A75)</f>
        <v/>
      </c>
      <c r="B75" s="8">
        <f>IF($A75="","",'Items'!$B75)</f>
        <v/>
      </c>
      <c r="C75" s="8">
        <f>IF($A75="","",'Items'!$K75)</f>
        <v/>
      </c>
      <c r="D75" s="8">
        <f>IF($A75="","",'Items'!$E75)</f>
        <v/>
      </c>
      <c r="E75" s="8">
        <f>IF($A75="","",'Items'!$D75)</f>
        <v/>
      </c>
      <c r="F75" s="16">
        <f>IF($A75="","",SUMIFS('Batches'!$E$3:$E$302,'Batches'!$A$3:$A$302,$A75,'Batches'!$G$3:$G$302,$C75)+SUMIFS('Movements'!$F$3:$F$1002,'Movements'!$B$3:$B$1002,$A75,'Movements'!$E$3:$E$1002,"In",'Movements'!$H$3:$H$1002,$C75)-SUMIFS('Movements'!$F$3:$F$1002,'Movements'!$B$3:$B$1002,$A75,'Movements'!$E$3:$E$1002,"Out",'Movements'!$G$3:$G$1002,$C75)-SUMIFS('Movements'!$F$3:$F$1002,'Movements'!$B$3:$B$1002,$A75,'Movements'!$E$3:$E$1002,"Waste",'Movements'!$G$3:$G$1002,$C75)+SUMIFS('Movements'!$F$3:$F$1002,'Movements'!$B$3:$B$1002,$A75,'Movements'!$E$3:$E$1002,"Transfer",'Movements'!$H$3:$H$1002,$C75)-SUMIFS('Movements'!$F$3:$F$1002,'Movements'!$B$3:$B$1002,$A75,'Movements'!$E$3:$E$1002,"Transfer",'Movements'!$G$3:$G$1002,$C75))</f>
        <v/>
      </c>
      <c r="G75" s="15">
        <f>IF($A75="","",'Items'!$I75)</f>
        <v/>
      </c>
      <c r="H75" s="8">
        <f>IF(OR($A75="",$G75=""),"",IF($F75&lt;$G75,"Below minimum","OK"))</f>
        <v/>
      </c>
      <c r="I75" s="18">
        <f>IF($A75="","",IF(SUMPRODUCT(SMALL(('Batches'!$A$3:$A$302=$A75)*('Batches'!$G$3:$G$302=$C75)*('Batches'!$D$3:$D$302&gt;0)*('Batches'!$H$3:$H$302&gt;0)*'Batches'!$D$3:$D$302+(1-('Batches'!$A$3:$A$302=$A75)*('Batches'!$G$3:$G$302=$C75)*('Batches'!$D$3:$D$302&gt;0)*('Batches'!$H$3:$H$302&gt;0))*100000,1))&gt;=100000,"",SUMPRODUCT(SMALL(('Batches'!$A$3:$A$302=$A75)*('Batches'!$G$3:$G$302=$C75)*('Batches'!$D$3:$D$302&gt;0)*('Batches'!$H$3:$H$302&gt;0)*'Batches'!$D$3:$D$302+(1-('Batches'!$A$3:$A$302=$A75)*('Batches'!$G$3:$G$302=$C75)*('Batches'!$D$3:$D$302&gt;0)*('Batches'!$H$3:$H$302&gt;0))*100000,1))))</f>
        <v/>
      </c>
      <c r="J75" s="16">
        <f>IF($A75="","",SUMIFS('Batches'!$H$3:$H$302,'Batches'!$A$3:$A$302,$A75,'Batches'!$G$3:$G$302,$C75,'Batches'!$D$3:$D$302,"&gt;0",'Batches'!$D$3:$D$302,"&lt;="&amp;('Settings'!$B$6+'Settings'!$B$7)))</f>
        <v/>
      </c>
      <c r="K75" s="19">
        <f>IF($A75="","",'Items'!$F75)</f>
        <v/>
      </c>
      <c r="L75" s="19">
        <f>IF($A75="","",$F75*$K75)</f>
        <v/>
      </c>
      <c r="M75" s="16">
        <f>IF($A75="","",IF(AND($H75="Below minimum",OR('Order list'!$B$4="",$D75='Order list'!$B$4)),IFERROR(MATCH($D75,Suppliers,0),99)*10000+ROW(),""))</f>
        <v/>
      </c>
    </row>
    <row r="76">
      <c r="A76" s="8">
        <f>IF('Items'!$A76="","",'Items'!$A76)</f>
        <v/>
      </c>
      <c r="B76" s="8">
        <f>IF($A76="","",'Items'!$B76)</f>
        <v/>
      </c>
      <c r="C76" s="8">
        <f>IF($A76="","",'Items'!$K76)</f>
        <v/>
      </c>
      <c r="D76" s="8">
        <f>IF($A76="","",'Items'!$E76)</f>
        <v/>
      </c>
      <c r="E76" s="8">
        <f>IF($A76="","",'Items'!$D76)</f>
        <v/>
      </c>
      <c r="F76" s="16">
        <f>IF($A76="","",SUMIFS('Batches'!$E$3:$E$302,'Batches'!$A$3:$A$302,$A76,'Batches'!$G$3:$G$302,$C76)+SUMIFS('Movements'!$F$3:$F$1002,'Movements'!$B$3:$B$1002,$A76,'Movements'!$E$3:$E$1002,"In",'Movements'!$H$3:$H$1002,$C76)-SUMIFS('Movements'!$F$3:$F$1002,'Movements'!$B$3:$B$1002,$A76,'Movements'!$E$3:$E$1002,"Out",'Movements'!$G$3:$G$1002,$C76)-SUMIFS('Movements'!$F$3:$F$1002,'Movements'!$B$3:$B$1002,$A76,'Movements'!$E$3:$E$1002,"Waste",'Movements'!$G$3:$G$1002,$C76)+SUMIFS('Movements'!$F$3:$F$1002,'Movements'!$B$3:$B$1002,$A76,'Movements'!$E$3:$E$1002,"Transfer",'Movements'!$H$3:$H$1002,$C76)-SUMIFS('Movements'!$F$3:$F$1002,'Movements'!$B$3:$B$1002,$A76,'Movements'!$E$3:$E$1002,"Transfer",'Movements'!$G$3:$G$1002,$C76))</f>
        <v/>
      </c>
      <c r="G76" s="15">
        <f>IF($A76="","",'Items'!$I76)</f>
        <v/>
      </c>
      <c r="H76" s="8">
        <f>IF(OR($A76="",$G76=""),"",IF($F76&lt;$G76,"Below minimum","OK"))</f>
        <v/>
      </c>
      <c r="I76" s="18">
        <f>IF($A76="","",IF(SUMPRODUCT(SMALL(('Batches'!$A$3:$A$302=$A76)*('Batches'!$G$3:$G$302=$C76)*('Batches'!$D$3:$D$302&gt;0)*('Batches'!$H$3:$H$302&gt;0)*'Batches'!$D$3:$D$302+(1-('Batches'!$A$3:$A$302=$A76)*('Batches'!$G$3:$G$302=$C76)*('Batches'!$D$3:$D$302&gt;0)*('Batches'!$H$3:$H$302&gt;0))*100000,1))&gt;=100000,"",SUMPRODUCT(SMALL(('Batches'!$A$3:$A$302=$A76)*('Batches'!$G$3:$G$302=$C76)*('Batches'!$D$3:$D$302&gt;0)*('Batches'!$H$3:$H$302&gt;0)*'Batches'!$D$3:$D$302+(1-('Batches'!$A$3:$A$302=$A76)*('Batches'!$G$3:$G$302=$C76)*('Batches'!$D$3:$D$302&gt;0)*('Batches'!$H$3:$H$302&gt;0))*100000,1))))</f>
        <v/>
      </c>
      <c r="J76" s="16">
        <f>IF($A76="","",SUMIFS('Batches'!$H$3:$H$302,'Batches'!$A$3:$A$302,$A76,'Batches'!$G$3:$G$302,$C76,'Batches'!$D$3:$D$302,"&gt;0",'Batches'!$D$3:$D$302,"&lt;="&amp;('Settings'!$B$6+'Settings'!$B$7)))</f>
        <v/>
      </c>
      <c r="K76" s="19">
        <f>IF($A76="","",'Items'!$F76)</f>
        <v/>
      </c>
      <c r="L76" s="19">
        <f>IF($A76="","",$F76*$K76)</f>
        <v/>
      </c>
      <c r="M76" s="16">
        <f>IF($A76="","",IF(AND($H76="Below minimum",OR('Order list'!$B$4="",$D76='Order list'!$B$4)),IFERROR(MATCH($D76,Suppliers,0),99)*10000+ROW(),""))</f>
        <v/>
      </c>
    </row>
    <row r="77">
      <c r="A77" s="8">
        <f>IF('Items'!$A77="","",'Items'!$A77)</f>
        <v/>
      </c>
      <c r="B77" s="8">
        <f>IF($A77="","",'Items'!$B77)</f>
        <v/>
      </c>
      <c r="C77" s="8">
        <f>IF($A77="","",'Items'!$K77)</f>
        <v/>
      </c>
      <c r="D77" s="8">
        <f>IF($A77="","",'Items'!$E77)</f>
        <v/>
      </c>
      <c r="E77" s="8">
        <f>IF($A77="","",'Items'!$D77)</f>
        <v/>
      </c>
      <c r="F77" s="16">
        <f>IF($A77="","",SUMIFS('Batches'!$E$3:$E$302,'Batches'!$A$3:$A$302,$A77,'Batches'!$G$3:$G$302,$C77)+SUMIFS('Movements'!$F$3:$F$1002,'Movements'!$B$3:$B$1002,$A77,'Movements'!$E$3:$E$1002,"In",'Movements'!$H$3:$H$1002,$C77)-SUMIFS('Movements'!$F$3:$F$1002,'Movements'!$B$3:$B$1002,$A77,'Movements'!$E$3:$E$1002,"Out",'Movements'!$G$3:$G$1002,$C77)-SUMIFS('Movements'!$F$3:$F$1002,'Movements'!$B$3:$B$1002,$A77,'Movements'!$E$3:$E$1002,"Waste",'Movements'!$G$3:$G$1002,$C77)+SUMIFS('Movements'!$F$3:$F$1002,'Movements'!$B$3:$B$1002,$A77,'Movements'!$E$3:$E$1002,"Transfer",'Movements'!$H$3:$H$1002,$C77)-SUMIFS('Movements'!$F$3:$F$1002,'Movements'!$B$3:$B$1002,$A77,'Movements'!$E$3:$E$1002,"Transfer",'Movements'!$G$3:$G$1002,$C77))</f>
        <v/>
      </c>
      <c r="G77" s="15">
        <f>IF($A77="","",'Items'!$I77)</f>
        <v/>
      </c>
      <c r="H77" s="8">
        <f>IF(OR($A77="",$G77=""),"",IF($F77&lt;$G77,"Below minimum","OK"))</f>
        <v/>
      </c>
      <c r="I77" s="18">
        <f>IF($A77="","",IF(SUMPRODUCT(SMALL(('Batches'!$A$3:$A$302=$A77)*('Batches'!$G$3:$G$302=$C77)*('Batches'!$D$3:$D$302&gt;0)*('Batches'!$H$3:$H$302&gt;0)*'Batches'!$D$3:$D$302+(1-('Batches'!$A$3:$A$302=$A77)*('Batches'!$G$3:$G$302=$C77)*('Batches'!$D$3:$D$302&gt;0)*('Batches'!$H$3:$H$302&gt;0))*100000,1))&gt;=100000,"",SUMPRODUCT(SMALL(('Batches'!$A$3:$A$302=$A77)*('Batches'!$G$3:$G$302=$C77)*('Batches'!$D$3:$D$302&gt;0)*('Batches'!$H$3:$H$302&gt;0)*'Batches'!$D$3:$D$302+(1-('Batches'!$A$3:$A$302=$A77)*('Batches'!$G$3:$G$302=$C77)*('Batches'!$D$3:$D$302&gt;0)*('Batches'!$H$3:$H$302&gt;0))*100000,1))))</f>
        <v/>
      </c>
      <c r="J77" s="16">
        <f>IF($A77="","",SUMIFS('Batches'!$H$3:$H$302,'Batches'!$A$3:$A$302,$A77,'Batches'!$G$3:$G$302,$C77,'Batches'!$D$3:$D$302,"&gt;0",'Batches'!$D$3:$D$302,"&lt;="&amp;('Settings'!$B$6+'Settings'!$B$7)))</f>
        <v/>
      </c>
      <c r="K77" s="19">
        <f>IF($A77="","",'Items'!$F77)</f>
        <v/>
      </c>
      <c r="L77" s="19">
        <f>IF($A77="","",$F77*$K77)</f>
        <v/>
      </c>
      <c r="M77" s="16">
        <f>IF($A77="","",IF(AND($H77="Below minimum",OR('Order list'!$B$4="",$D77='Order list'!$B$4)),IFERROR(MATCH($D77,Suppliers,0),99)*10000+ROW(),""))</f>
        <v/>
      </c>
    </row>
    <row r="78">
      <c r="A78" s="8">
        <f>IF('Items'!$A78="","",'Items'!$A78)</f>
        <v/>
      </c>
      <c r="B78" s="8">
        <f>IF($A78="","",'Items'!$B78)</f>
        <v/>
      </c>
      <c r="C78" s="8">
        <f>IF($A78="","",'Items'!$K78)</f>
        <v/>
      </c>
      <c r="D78" s="8">
        <f>IF($A78="","",'Items'!$E78)</f>
        <v/>
      </c>
      <c r="E78" s="8">
        <f>IF($A78="","",'Items'!$D78)</f>
        <v/>
      </c>
      <c r="F78" s="16">
        <f>IF($A78="","",SUMIFS('Batches'!$E$3:$E$302,'Batches'!$A$3:$A$302,$A78,'Batches'!$G$3:$G$302,$C78)+SUMIFS('Movements'!$F$3:$F$1002,'Movements'!$B$3:$B$1002,$A78,'Movements'!$E$3:$E$1002,"In",'Movements'!$H$3:$H$1002,$C78)-SUMIFS('Movements'!$F$3:$F$1002,'Movements'!$B$3:$B$1002,$A78,'Movements'!$E$3:$E$1002,"Out",'Movements'!$G$3:$G$1002,$C78)-SUMIFS('Movements'!$F$3:$F$1002,'Movements'!$B$3:$B$1002,$A78,'Movements'!$E$3:$E$1002,"Waste",'Movements'!$G$3:$G$1002,$C78)+SUMIFS('Movements'!$F$3:$F$1002,'Movements'!$B$3:$B$1002,$A78,'Movements'!$E$3:$E$1002,"Transfer",'Movements'!$H$3:$H$1002,$C78)-SUMIFS('Movements'!$F$3:$F$1002,'Movements'!$B$3:$B$1002,$A78,'Movements'!$E$3:$E$1002,"Transfer",'Movements'!$G$3:$G$1002,$C78))</f>
        <v/>
      </c>
      <c r="G78" s="15">
        <f>IF($A78="","",'Items'!$I78)</f>
        <v/>
      </c>
      <c r="H78" s="8">
        <f>IF(OR($A78="",$G78=""),"",IF($F78&lt;$G78,"Below minimum","OK"))</f>
        <v/>
      </c>
      <c r="I78" s="18">
        <f>IF($A78="","",IF(SUMPRODUCT(SMALL(('Batches'!$A$3:$A$302=$A78)*('Batches'!$G$3:$G$302=$C78)*('Batches'!$D$3:$D$302&gt;0)*('Batches'!$H$3:$H$302&gt;0)*'Batches'!$D$3:$D$302+(1-('Batches'!$A$3:$A$302=$A78)*('Batches'!$G$3:$G$302=$C78)*('Batches'!$D$3:$D$302&gt;0)*('Batches'!$H$3:$H$302&gt;0))*100000,1))&gt;=100000,"",SUMPRODUCT(SMALL(('Batches'!$A$3:$A$302=$A78)*('Batches'!$G$3:$G$302=$C78)*('Batches'!$D$3:$D$302&gt;0)*('Batches'!$H$3:$H$302&gt;0)*'Batches'!$D$3:$D$302+(1-('Batches'!$A$3:$A$302=$A78)*('Batches'!$G$3:$G$302=$C78)*('Batches'!$D$3:$D$302&gt;0)*('Batches'!$H$3:$H$302&gt;0))*100000,1))))</f>
        <v/>
      </c>
      <c r="J78" s="16">
        <f>IF($A78="","",SUMIFS('Batches'!$H$3:$H$302,'Batches'!$A$3:$A$302,$A78,'Batches'!$G$3:$G$302,$C78,'Batches'!$D$3:$D$302,"&gt;0",'Batches'!$D$3:$D$302,"&lt;="&amp;('Settings'!$B$6+'Settings'!$B$7)))</f>
        <v/>
      </c>
      <c r="K78" s="19">
        <f>IF($A78="","",'Items'!$F78)</f>
        <v/>
      </c>
      <c r="L78" s="19">
        <f>IF($A78="","",$F78*$K78)</f>
        <v/>
      </c>
      <c r="M78" s="16">
        <f>IF($A78="","",IF(AND($H78="Below minimum",OR('Order list'!$B$4="",$D78='Order list'!$B$4)),IFERROR(MATCH($D78,Suppliers,0),99)*10000+ROW(),""))</f>
        <v/>
      </c>
    </row>
    <row r="79">
      <c r="A79" s="8">
        <f>IF('Items'!$A79="","",'Items'!$A79)</f>
        <v/>
      </c>
      <c r="B79" s="8">
        <f>IF($A79="","",'Items'!$B79)</f>
        <v/>
      </c>
      <c r="C79" s="8">
        <f>IF($A79="","",'Items'!$K79)</f>
        <v/>
      </c>
      <c r="D79" s="8">
        <f>IF($A79="","",'Items'!$E79)</f>
        <v/>
      </c>
      <c r="E79" s="8">
        <f>IF($A79="","",'Items'!$D79)</f>
        <v/>
      </c>
      <c r="F79" s="16">
        <f>IF($A79="","",SUMIFS('Batches'!$E$3:$E$302,'Batches'!$A$3:$A$302,$A79,'Batches'!$G$3:$G$302,$C79)+SUMIFS('Movements'!$F$3:$F$1002,'Movements'!$B$3:$B$1002,$A79,'Movements'!$E$3:$E$1002,"In",'Movements'!$H$3:$H$1002,$C79)-SUMIFS('Movements'!$F$3:$F$1002,'Movements'!$B$3:$B$1002,$A79,'Movements'!$E$3:$E$1002,"Out",'Movements'!$G$3:$G$1002,$C79)-SUMIFS('Movements'!$F$3:$F$1002,'Movements'!$B$3:$B$1002,$A79,'Movements'!$E$3:$E$1002,"Waste",'Movements'!$G$3:$G$1002,$C79)+SUMIFS('Movements'!$F$3:$F$1002,'Movements'!$B$3:$B$1002,$A79,'Movements'!$E$3:$E$1002,"Transfer",'Movements'!$H$3:$H$1002,$C79)-SUMIFS('Movements'!$F$3:$F$1002,'Movements'!$B$3:$B$1002,$A79,'Movements'!$E$3:$E$1002,"Transfer",'Movements'!$G$3:$G$1002,$C79))</f>
        <v/>
      </c>
      <c r="G79" s="15">
        <f>IF($A79="","",'Items'!$I79)</f>
        <v/>
      </c>
      <c r="H79" s="8">
        <f>IF(OR($A79="",$G79=""),"",IF($F79&lt;$G79,"Below minimum","OK"))</f>
        <v/>
      </c>
      <c r="I79" s="18">
        <f>IF($A79="","",IF(SUMPRODUCT(SMALL(('Batches'!$A$3:$A$302=$A79)*('Batches'!$G$3:$G$302=$C79)*('Batches'!$D$3:$D$302&gt;0)*('Batches'!$H$3:$H$302&gt;0)*'Batches'!$D$3:$D$302+(1-('Batches'!$A$3:$A$302=$A79)*('Batches'!$G$3:$G$302=$C79)*('Batches'!$D$3:$D$302&gt;0)*('Batches'!$H$3:$H$302&gt;0))*100000,1))&gt;=100000,"",SUMPRODUCT(SMALL(('Batches'!$A$3:$A$302=$A79)*('Batches'!$G$3:$G$302=$C79)*('Batches'!$D$3:$D$302&gt;0)*('Batches'!$H$3:$H$302&gt;0)*'Batches'!$D$3:$D$302+(1-('Batches'!$A$3:$A$302=$A79)*('Batches'!$G$3:$G$302=$C79)*('Batches'!$D$3:$D$302&gt;0)*('Batches'!$H$3:$H$302&gt;0))*100000,1))))</f>
        <v/>
      </c>
      <c r="J79" s="16">
        <f>IF($A79="","",SUMIFS('Batches'!$H$3:$H$302,'Batches'!$A$3:$A$302,$A79,'Batches'!$G$3:$G$302,$C79,'Batches'!$D$3:$D$302,"&gt;0",'Batches'!$D$3:$D$302,"&lt;="&amp;('Settings'!$B$6+'Settings'!$B$7)))</f>
        <v/>
      </c>
      <c r="K79" s="19">
        <f>IF($A79="","",'Items'!$F79)</f>
        <v/>
      </c>
      <c r="L79" s="19">
        <f>IF($A79="","",$F79*$K79)</f>
        <v/>
      </c>
      <c r="M79" s="16">
        <f>IF($A79="","",IF(AND($H79="Below minimum",OR('Order list'!$B$4="",$D79='Order list'!$B$4)),IFERROR(MATCH($D79,Suppliers,0),99)*10000+ROW(),""))</f>
        <v/>
      </c>
    </row>
    <row r="80">
      <c r="A80" s="8">
        <f>IF('Items'!$A80="","",'Items'!$A80)</f>
        <v/>
      </c>
      <c r="B80" s="8">
        <f>IF($A80="","",'Items'!$B80)</f>
        <v/>
      </c>
      <c r="C80" s="8">
        <f>IF($A80="","",'Items'!$K80)</f>
        <v/>
      </c>
      <c r="D80" s="8">
        <f>IF($A80="","",'Items'!$E80)</f>
        <v/>
      </c>
      <c r="E80" s="8">
        <f>IF($A80="","",'Items'!$D80)</f>
        <v/>
      </c>
      <c r="F80" s="16">
        <f>IF($A80="","",SUMIFS('Batches'!$E$3:$E$302,'Batches'!$A$3:$A$302,$A80,'Batches'!$G$3:$G$302,$C80)+SUMIFS('Movements'!$F$3:$F$1002,'Movements'!$B$3:$B$1002,$A80,'Movements'!$E$3:$E$1002,"In",'Movements'!$H$3:$H$1002,$C80)-SUMIFS('Movements'!$F$3:$F$1002,'Movements'!$B$3:$B$1002,$A80,'Movements'!$E$3:$E$1002,"Out",'Movements'!$G$3:$G$1002,$C80)-SUMIFS('Movements'!$F$3:$F$1002,'Movements'!$B$3:$B$1002,$A80,'Movements'!$E$3:$E$1002,"Waste",'Movements'!$G$3:$G$1002,$C80)+SUMIFS('Movements'!$F$3:$F$1002,'Movements'!$B$3:$B$1002,$A80,'Movements'!$E$3:$E$1002,"Transfer",'Movements'!$H$3:$H$1002,$C80)-SUMIFS('Movements'!$F$3:$F$1002,'Movements'!$B$3:$B$1002,$A80,'Movements'!$E$3:$E$1002,"Transfer",'Movements'!$G$3:$G$1002,$C80))</f>
        <v/>
      </c>
      <c r="G80" s="15">
        <f>IF($A80="","",'Items'!$I80)</f>
        <v/>
      </c>
      <c r="H80" s="8">
        <f>IF(OR($A80="",$G80=""),"",IF($F80&lt;$G80,"Below minimum","OK"))</f>
        <v/>
      </c>
      <c r="I80" s="18">
        <f>IF($A80="","",IF(SUMPRODUCT(SMALL(('Batches'!$A$3:$A$302=$A80)*('Batches'!$G$3:$G$302=$C80)*('Batches'!$D$3:$D$302&gt;0)*('Batches'!$H$3:$H$302&gt;0)*'Batches'!$D$3:$D$302+(1-('Batches'!$A$3:$A$302=$A80)*('Batches'!$G$3:$G$302=$C80)*('Batches'!$D$3:$D$302&gt;0)*('Batches'!$H$3:$H$302&gt;0))*100000,1))&gt;=100000,"",SUMPRODUCT(SMALL(('Batches'!$A$3:$A$302=$A80)*('Batches'!$G$3:$G$302=$C80)*('Batches'!$D$3:$D$302&gt;0)*('Batches'!$H$3:$H$302&gt;0)*'Batches'!$D$3:$D$302+(1-('Batches'!$A$3:$A$302=$A80)*('Batches'!$G$3:$G$302=$C80)*('Batches'!$D$3:$D$302&gt;0)*('Batches'!$H$3:$H$302&gt;0))*100000,1))))</f>
        <v/>
      </c>
      <c r="J80" s="16">
        <f>IF($A80="","",SUMIFS('Batches'!$H$3:$H$302,'Batches'!$A$3:$A$302,$A80,'Batches'!$G$3:$G$302,$C80,'Batches'!$D$3:$D$302,"&gt;0",'Batches'!$D$3:$D$302,"&lt;="&amp;('Settings'!$B$6+'Settings'!$B$7)))</f>
        <v/>
      </c>
      <c r="K80" s="19">
        <f>IF($A80="","",'Items'!$F80)</f>
        <v/>
      </c>
      <c r="L80" s="19">
        <f>IF($A80="","",$F80*$K80)</f>
        <v/>
      </c>
      <c r="M80" s="16">
        <f>IF($A80="","",IF(AND($H80="Below minimum",OR('Order list'!$B$4="",$D80='Order list'!$B$4)),IFERROR(MATCH($D80,Suppliers,0),99)*10000+ROW(),""))</f>
        <v/>
      </c>
    </row>
    <row r="81">
      <c r="A81" s="8">
        <f>IF('Items'!$A81="","",'Items'!$A81)</f>
        <v/>
      </c>
      <c r="B81" s="8">
        <f>IF($A81="","",'Items'!$B81)</f>
        <v/>
      </c>
      <c r="C81" s="8">
        <f>IF($A81="","",'Items'!$K81)</f>
        <v/>
      </c>
      <c r="D81" s="8">
        <f>IF($A81="","",'Items'!$E81)</f>
        <v/>
      </c>
      <c r="E81" s="8">
        <f>IF($A81="","",'Items'!$D81)</f>
        <v/>
      </c>
      <c r="F81" s="16">
        <f>IF($A81="","",SUMIFS('Batches'!$E$3:$E$302,'Batches'!$A$3:$A$302,$A81,'Batches'!$G$3:$G$302,$C81)+SUMIFS('Movements'!$F$3:$F$1002,'Movements'!$B$3:$B$1002,$A81,'Movements'!$E$3:$E$1002,"In",'Movements'!$H$3:$H$1002,$C81)-SUMIFS('Movements'!$F$3:$F$1002,'Movements'!$B$3:$B$1002,$A81,'Movements'!$E$3:$E$1002,"Out",'Movements'!$G$3:$G$1002,$C81)-SUMIFS('Movements'!$F$3:$F$1002,'Movements'!$B$3:$B$1002,$A81,'Movements'!$E$3:$E$1002,"Waste",'Movements'!$G$3:$G$1002,$C81)+SUMIFS('Movements'!$F$3:$F$1002,'Movements'!$B$3:$B$1002,$A81,'Movements'!$E$3:$E$1002,"Transfer",'Movements'!$H$3:$H$1002,$C81)-SUMIFS('Movements'!$F$3:$F$1002,'Movements'!$B$3:$B$1002,$A81,'Movements'!$E$3:$E$1002,"Transfer",'Movements'!$G$3:$G$1002,$C81))</f>
        <v/>
      </c>
      <c r="G81" s="15">
        <f>IF($A81="","",'Items'!$I81)</f>
        <v/>
      </c>
      <c r="H81" s="8">
        <f>IF(OR($A81="",$G81=""),"",IF($F81&lt;$G81,"Below minimum","OK"))</f>
        <v/>
      </c>
      <c r="I81" s="18">
        <f>IF($A81="","",IF(SUMPRODUCT(SMALL(('Batches'!$A$3:$A$302=$A81)*('Batches'!$G$3:$G$302=$C81)*('Batches'!$D$3:$D$302&gt;0)*('Batches'!$H$3:$H$302&gt;0)*'Batches'!$D$3:$D$302+(1-('Batches'!$A$3:$A$302=$A81)*('Batches'!$G$3:$G$302=$C81)*('Batches'!$D$3:$D$302&gt;0)*('Batches'!$H$3:$H$302&gt;0))*100000,1))&gt;=100000,"",SUMPRODUCT(SMALL(('Batches'!$A$3:$A$302=$A81)*('Batches'!$G$3:$G$302=$C81)*('Batches'!$D$3:$D$302&gt;0)*('Batches'!$H$3:$H$302&gt;0)*'Batches'!$D$3:$D$302+(1-('Batches'!$A$3:$A$302=$A81)*('Batches'!$G$3:$G$302=$C81)*('Batches'!$D$3:$D$302&gt;0)*('Batches'!$H$3:$H$302&gt;0))*100000,1))))</f>
        <v/>
      </c>
      <c r="J81" s="16">
        <f>IF($A81="","",SUMIFS('Batches'!$H$3:$H$302,'Batches'!$A$3:$A$302,$A81,'Batches'!$G$3:$G$302,$C81,'Batches'!$D$3:$D$302,"&gt;0",'Batches'!$D$3:$D$302,"&lt;="&amp;('Settings'!$B$6+'Settings'!$B$7)))</f>
        <v/>
      </c>
      <c r="K81" s="19">
        <f>IF($A81="","",'Items'!$F81)</f>
        <v/>
      </c>
      <c r="L81" s="19">
        <f>IF($A81="","",$F81*$K81)</f>
        <v/>
      </c>
      <c r="M81" s="16">
        <f>IF($A81="","",IF(AND($H81="Below minimum",OR('Order list'!$B$4="",$D81='Order list'!$B$4)),IFERROR(MATCH($D81,Suppliers,0),99)*10000+ROW(),""))</f>
        <v/>
      </c>
    </row>
    <row r="82">
      <c r="A82" s="8">
        <f>IF('Items'!$A82="","",'Items'!$A82)</f>
        <v/>
      </c>
      <c r="B82" s="8">
        <f>IF($A82="","",'Items'!$B82)</f>
        <v/>
      </c>
      <c r="C82" s="8">
        <f>IF($A82="","",'Items'!$K82)</f>
        <v/>
      </c>
      <c r="D82" s="8">
        <f>IF($A82="","",'Items'!$E82)</f>
        <v/>
      </c>
      <c r="E82" s="8">
        <f>IF($A82="","",'Items'!$D82)</f>
        <v/>
      </c>
      <c r="F82" s="16">
        <f>IF($A82="","",SUMIFS('Batches'!$E$3:$E$302,'Batches'!$A$3:$A$302,$A82,'Batches'!$G$3:$G$302,$C82)+SUMIFS('Movements'!$F$3:$F$1002,'Movements'!$B$3:$B$1002,$A82,'Movements'!$E$3:$E$1002,"In",'Movements'!$H$3:$H$1002,$C82)-SUMIFS('Movements'!$F$3:$F$1002,'Movements'!$B$3:$B$1002,$A82,'Movements'!$E$3:$E$1002,"Out",'Movements'!$G$3:$G$1002,$C82)-SUMIFS('Movements'!$F$3:$F$1002,'Movements'!$B$3:$B$1002,$A82,'Movements'!$E$3:$E$1002,"Waste",'Movements'!$G$3:$G$1002,$C82)+SUMIFS('Movements'!$F$3:$F$1002,'Movements'!$B$3:$B$1002,$A82,'Movements'!$E$3:$E$1002,"Transfer",'Movements'!$H$3:$H$1002,$C82)-SUMIFS('Movements'!$F$3:$F$1002,'Movements'!$B$3:$B$1002,$A82,'Movements'!$E$3:$E$1002,"Transfer",'Movements'!$G$3:$G$1002,$C82))</f>
        <v/>
      </c>
      <c r="G82" s="15">
        <f>IF($A82="","",'Items'!$I82)</f>
        <v/>
      </c>
      <c r="H82" s="8">
        <f>IF(OR($A82="",$G82=""),"",IF($F82&lt;$G82,"Below minimum","OK"))</f>
        <v/>
      </c>
      <c r="I82" s="18">
        <f>IF($A82="","",IF(SUMPRODUCT(SMALL(('Batches'!$A$3:$A$302=$A82)*('Batches'!$G$3:$G$302=$C82)*('Batches'!$D$3:$D$302&gt;0)*('Batches'!$H$3:$H$302&gt;0)*'Batches'!$D$3:$D$302+(1-('Batches'!$A$3:$A$302=$A82)*('Batches'!$G$3:$G$302=$C82)*('Batches'!$D$3:$D$302&gt;0)*('Batches'!$H$3:$H$302&gt;0))*100000,1))&gt;=100000,"",SUMPRODUCT(SMALL(('Batches'!$A$3:$A$302=$A82)*('Batches'!$G$3:$G$302=$C82)*('Batches'!$D$3:$D$302&gt;0)*('Batches'!$H$3:$H$302&gt;0)*'Batches'!$D$3:$D$302+(1-('Batches'!$A$3:$A$302=$A82)*('Batches'!$G$3:$G$302=$C82)*('Batches'!$D$3:$D$302&gt;0)*('Batches'!$H$3:$H$302&gt;0))*100000,1))))</f>
        <v/>
      </c>
      <c r="J82" s="16">
        <f>IF($A82="","",SUMIFS('Batches'!$H$3:$H$302,'Batches'!$A$3:$A$302,$A82,'Batches'!$G$3:$G$302,$C82,'Batches'!$D$3:$D$302,"&gt;0",'Batches'!$D$3:$D$302,"&lt;="&amp;('Settings'!$B$6+'Settings'!$B$7)))</f>
        <v/>
      </c>
      <c r="K82" s="19">
        <f>IF($A82="","",'Items'!$F82)</f>
        <v/>
      </c>
      <c r="L82" s="19">
        <f>IF($A82="","",$F82*$K82)</f>
        <v/>
      </c>
      <c r="M82" s="16">
        <f>IF($A82="","",IF(AND($H82="Below minimum",OR('Order list'!$B$4="",$D82='Order list'!$B$4)),IFERROR(MATCH($D82,Suppliers,0),99)*10000+ROW(),""))</f>
        <v/>
      </c>
    </row>
    <row r="83">
      <c r="A83" s="8">
        <f>IF('Items'!$A83="","",'Items'!$A83)</f>
        <v/>
      </c>
      <c r="B83" s="8">
        <f>IF($A83="","",'Items'!$B83)</f>
        <v/>
      </c>
      <c r="C83" s="8">
        <f>IF($A83="","",'Items'!$K83)</f>
        <v/>
      </c>
      <c r="D83" s="8">
        <f>IF($A83="","",'Items'!$E83)</f>
        <v/>
      </c>
      <c r="E83" s="8">
        <f>IF($A83="","",'Items'!$D83)</f>
        <v/>
      </c>
      <c r="F83" s="16">
        <f>IF($A83="","",SUMIFS('Batches'!$E$3:$E$302,'Batches'!$A$3:$A$302,$A83,'Batches'!$G$3:$G$302,$C83)+SUMIFS('Movements'!$F$3:$F$1002,'Movements'!$B$3:$B$1002,$A83,'Movements'!$E$3:$E$1002,"In",'Movements'!$H$3:$H$1002,$C83)-SUMIFS('Movements'!$F$3:$F$1002,'Movements'!$B$3:$B$1002,$A83,'Movements'!$E$3:$E$1002,"Out",'Movements'!$G$3:$G$1002,$C83)-SUMIFS('Movements'!$F$3:$F$1002,'Movements'!$B$3:$B$1002,$A83,'Movements'!$E$3:$E$1002,"Waste",'Movements'!$G$3:$G$1002,$C83)+SUMIFS('Movements'!$F$3:$F$1002,'Movements'!$B$3:$B$1002,$A83,'Movements'!$E$3:$E$1002,"Transfer",'Movements'!$H$3:$H$1002,$C83)-SUMIFS('Movements'!$F$3:$F$1002,'Movements'!$B$3:$B$1002,$A83,'Movements'!$E$3:$E$1002,"Transfer",'Movements'!$G$3:$G$1002,$C83))</f>
        <v/>
      </c>
      <c r="G83" s="15">
        <f>IF($A83="","",'Items'!$I83)</f>
        <v/>
      </c>
      <c r="H83" s="8">
        <f>IF(OR($A83="",$G83=""),"",IF($F83&lt;$G83,"Below minimum","OK"))</f>
        <v/>
      </c>
      <c r="I83" s="18">
        <f>IF($A83="","",IF(SUMPRODUCT(SMALL(('Batches'!$A$3:$A$302=$A83)*('Batches'!$G$3:$G$302=$C83)*('Batches'!$D$3:$D$302&gt;0)*('Batches'!$H$3:$H$302&gt;0)*'Batches'!$D$3:$D$302+(1-('Batches'!$A$3:$A$302=$A83)*('Batches'!$G$3:$G$302=$C83)*('Batches'!$D$3:$D$302&gt;0)*('Batches'!$H$3:$H$302&gt;0))*100000,1))&gt;=100000,"",SUMPRODUCT(SMALL(('Batches'!$A$3:$A$302=$A83)*('Batches'!$G$3:$G$302=$C83)*('Batches'!$D$3:$D$302&gt;0)*('Batches'!$H$3:$H$302&gt;0)*'Batches'!$D$3:$D$302+(1-('Batches'!$A$3:$A$302=$A83)*('Batches'!$G$3:$G$302=$C83)*('Batches'!$D$3:$D$302&gt;0)*('Batches'!$H$3:$H$302&gt;0))*100000,1))))</f>
        <v/>
      </c>
      <c r="J83" s="16">
        <f>IF($A83="","",SUMIFS('Batches'!$H$3:$H$302,'Batches'!$A$3:$A$302,$A83,'Batches'!$G$3:$G$302,$C83,'Batches'!$D$3:$D$302,"&gt;0",'Batches'!$D$3:$D$302,"&lt;="&amp;('Settings'!$B$6+'Settings'!$B$7)))</f>
        <v/>
      </c>
      <c r="K83" s="19">
        <f>IF($A83="","",'Items'!$F83)</f>
        <v/>
      </c>
      <c r="L83" s="19">
        <f>IF($A83="","",$F83*$K83)</f>
        <v/>
      </c>
      <c r="M83" s="16">
        <f>IF($A83="","",IF(AND($H83="Below minimum",OR('Order list'!$B$4="",$D83='Order list'!$B$4)),IFERROR(MATCH($D83,Suppliers,0),99)*10000+ROW(),""))</f>
        <v/>
      </c>
    </row>
    <row r="84">
      <c r="A84" s="8">
        <f>IF('Items'!$A84="","",'Items'!$A84)</f>
        <v/>
      </c>
      <c r="B84" s="8">
        <f>IF($A84="","",'Items'!$B84)</f>
        <v/>
      </c>
      <c r="C84" s="8">
        <f>IF($A84="","",'Items'!$K84)</f>
        <v/>
      </c>
      <c r="D84" s="8">
        <f>IF($A84="","",'Items'!$E84)</f>
        <v/>
      </c>
      <c r="E84" s="8">
        <f>IF($A84="","",'Items'!$D84)</f>
        <v/>
      </c>
      <c r="F84" s="16">
        <f>IF($A84="","",SUMIFS('Batches'!$E$3:$E$302,'Batches'!$A$3:$A$302,$A84,'Batches'!$G$3:$G$302,$C84)+SUMIFS('Movements'!$F$3:$F$1002,'Movements'!$B$3:$B$1002,$A84,'Movements'!$E$3:$E$1002,"In",'Movements'!$H$3:$H$1002,$C84)-SUMIFS('Movements'!$F$3:$F$1002,'Movements'!$B$3:$B$1002,$A84,'Movements'!$E$3:$E$1002,"Out",'Movements'!$G$3:$G$1002,$C84)-SUMIFS('Movements'!$F$3:$F$1002,'Movements'!$B$3:$B$1002,$A84,'Movements'!$E$3:$E$1002,"Waste",'Movements'!$G$3:$G$1002,$C84)+SUMIFS('Movements'!$F$3:$F$1002,'Movements'!$B$3:$B$1002,$A84,'Movements'!$E$3:$E$1002,"Transfer",'Movements'!$H$3:$H$1002,$C84)-SUMIFS('Movements'!$F$3:$F$1002,'Movements'!$B$3:$B$1002,$A84,'Movements'!$E$3:$E$1002,"Transfer",'Movements'!$G$3:$G$1002,$C84))</f>
        <v/>
      </c>
      <c r="G84" s="15">
        <f>IF($A84="","",'Items'!$I84)</f>
        <v/>
      </c>
      <c r="H84" s="8">
        <f>IF(OR($A84="",$G84=""),"",IF($F84&lt;$G84,"Below minimum","OK"))</f>
        <v/>
      </c>
      <c r="I84" s="18">
        <f>IF($A84="","",IF(SUMPRODUCT(SMALL(('Batches'!$A$3:$A$302=$A84)*('Batches'!$G$3:$G$302=$C84)*('Batches'!$D$3:$D$302&gt;0)*('Batches'!$H$3:$H$302&gt;0)*'Batches'!$D$3:$D$302+(1-('Batches'!$A$3:$A$302=$A84)*('Batches'!$G$3:$G$302=$C84)*('Batches'!$D$3:$D$302&gt;0)*('Batches'!$H$3:$H$302&gt;0))*100000,1))&gt;=100000,"",SUMPRODUCT(SMALL(('Batches'!$A$3:$A$302=$A84)*('Batches'!$G$3:$G$302=$C84)*('Batches'!$D$3:$D$302&gt;0)*('Batches'!$H$3:$H$302&gt;0)*'Batches'!$D$3:$D$302+(1-('Batches'!$A$3:$A$302=$A84)*('Batches'!$G$3:$G$302=$C84)*('Batches'!$D$3:$D$302&gt;0)*('Batches'!$H$3:$H$302&gt;0))*100000,1))))</f>
        <v/>
      </c>
      <c r="J84" s="16">
        <f>IF($A84="","",SUMIFS('Batches'!$H$3:$H$302,'Batches'!$A$3:$A$302,$A84,'Batches'!$G$3:$G$302,$C84,'Batches'!$D$3:$D$302,"&gt;0",'Batches'!$D$3:$D$302,"&lt;="&amp;('Settings'!$B$6+'Settings'!$B$7)))</f>
        <v/>
      </c>
      <c r="K84" s="19">
        <f>IF($A84="","",'Items'!$F84)</f>
        <v/>
      </c>
      <c r="L84" s="19">
        <f>IF($A84="","",$F84*$K84)</f>
        <v/>
      </c>
      <c r="M84" s="16">
        <f>IF($A84="","",IF(AND($H84="Below minimum",OR('Order list'!$B$4="",$D84='Order list'!$B$4)),IFERROR(MATCH($D84,Suppliers,0),99)*10000+ROW(),""))</f>
        <v/>
      </c>
    </row>
    <row r="85">
      <c r="A85" s="8">
        <f>IF('Items'!$A85="","",'Items'!$A85)</f>
        <v/>
      </c>
      <c r="B85" s="8">
        <f>IF($A85="","",'Items'!$B85)</f>
        <v/>
      </c>
      <c r="C85" s="8">
        <f>IF($A85="","",'Items'!$K85)</f>
        <v/>
      </c>
      <c r="D85" s="8">
        <f>IF($A85="","",'Items'!$E85)</f>
        <v/>
      </c>
      <c r="E85" s="8">
        <f>IF($A85="","",'Items'!$D85)</f>
        <v/>
      </c>
      <c r="F85" s="16">
        <f>IF($A85="","",SUMIFS('Batches'!$E$3:$E$302,'Batches'!$A$3:$A$302,$A85,'Batches'!$G$3:$G$302,$C85)+SUMIFS('Movements'!$F$3:$F$1002,'Movements'!$B$3:$B$1002,$A85,'Movements'!$E$3:$E$1002,"In",'Movements'!$H$3:$H$1002,$C85)-SUMIFS('Movements'!$F$3:$F$1002,'Movements'!$B$3:$B$1002,$A85,'Movements'!$E$3:$E$1002,"Out",'Movements'!$G$3:$G$1002,$C85)-SUMIFS('Movements'!$F$3:$F$1002,'Movements'!$B$3:$B$1002,$A85,'Movements'!$E$3:$E$1002,"Waste",'Movements'!$G$3:$G$1002,$C85)+SUMIFS('Movements'!$F$3:$F$1002,'Movements'!$B$3:$B$1002,$A85,'Movements'!$E$3:$E$1002,"Transfer",'Movements'!$H$3:$H$1002,$C85)-SUMIFS('Movements'!$F$3:$F$1002,'Movements'!$B$3:$B$1002,$A85,'Movements'!$E$3:$E$1002,"Transfer",'Movements'!$G$3:$G$1002,$C85))</f>
        <v/>
      </c>
      <c r="G85" s="15">
        <f>IF($A85="","",'Items'!$I85)</f>
        <v/>
      </c>
      <c r="H85" s="8">
        <f>IF(OR($A85="",$G85=""),"",IF($F85&lt;$G85,"Below minimum","OK"))</f>
        <v/>
      </c>
      <c r="I85" s="18">
        <f>IF($A85="","",IF(SUMPRODUCT(SMALL(('Batches'!$A$3:$A$302=$A85)*('Batches'!$G$3:$G$302=$C85)*('Batches'!$D$3:$D$302&gt;0)*('Batches'!$H$3:$H$302&gt;0)*'Batches'!$D$3:$D$302+(1-('Batches'!$A$3:$A$302=$A85)*('Batches'!$G$3:$G$302=$C85)*('Batches'!$D$3:$D$302&gt;0)*('Batches'!$H$3:$H$302&gt;0))*100000,1))&gt;=100000,"",SUMPRODUCT(SMALL(('Batches'!$A$3:$A$302=$A85)*('Batches'!$G$3:$G$302=$C85)*('Batches'!$D$3:$D$302&gt;0)*('Batches'!$H$3:$H$302&gt;0)*'Batches'!$D$3:$D$302+(1-('Batches'!$A$3:$A$302=$A85)*('Batches'!$G$3:$G$302=$C85)*('Batches'!$D$3:$D$302&gt;0)*('Batches'!$H$3:$H$302&gt;0))*100000,1))))</f>
        <v/>
      </c>
      <c r="J85" s="16">
        <f>IF($A85="","",SUMIFS('Batches'!$H$3:$H$302,'Batches'!$A$3:$A$302,$A85,'Batches'!$G$3:$G$302,$C85,'Batches'!$D$3:$D$302,"&gt;0",'Batches'!$D$3:$D$302,"&lt;="&amp;('Settings'!$B$6+'Settings'!$B$7)))</f>
        <v/>
      </c>
      <c r="K85" s="19">
        <f>IF($A85="","",'Items'!$F85)</f>
        <v/>
      </c>
      <c r="L85" s="19">
        <f>IF($A85="","",$F85*$K85)</f>
        <v/>
      </c>
      <c r="M85" s="16">
        <f>IF($A85="","",IF(AND($H85="Below minimum",OR('Order list'!$B$4="",$D85='Order list'!$B$4)),IFERROR(MATCH($D85,Suppliers,0),99)*10000+ROW(),""))</f>
        <v/>
      </c>
    </row>
    <row r="86">
      <c r="A86" s="8">
        <f>IF('Items'!$A86="","",'Items'!$A86)</f>
        <v/>
      </c>
      <c r="B86" s="8">
        <f>IF($A86="","",'Items'!$B86)</f>
        <v/>
      </c>
      <c r="C86" s="8">
        <f>IF($A86="","",'Items'!$K86)</f>
        <v/>
      </c>
      <c r="D86" s="8">
        <f>IF($A86="","",'Items'!$E86)</f>
        <v/>
      </c>
      <c r="E86" s="8">
        <f>IF($A86="","",'Items'!$D86)</f>
        <v/>
      </c>
      <c r="F86" s="16">
        <f>IF($A86="","",SUMIFS('Batches'!$E$3:$E$302,'Batches'!$A$3:$A$302,$A86,'Batches'!$G$3:$G$302,$C86)+SUMIFS('Movements'!$F$3:$F$1002,'Movements'!$B$3:$B$1002,$A86,'Movements'!$E$3:$E$1002,"In",'Movements'!$H$3:$H$1002,$C86)-SUMIFS('Movements'!$F$3:$F$1002,'Movements'!$B$3:$B$1002,$A86,'Movements'!$E$3:$E$1002,"Out",'Movements'!$G$3:$G$1002,$C86)-SUMIFS('Movements'!$F$3:$F$1002,'Movements'!$B$3:$B$1002,$A86,'Movements'!$E$3:$E$1002,"Waste",'Movements'!$G$3:$G$1002,$C86)+SUMIFS('Movements'!$F$3:$F$1002,'Movements'!$B$3:$B$1002,$A86,'Movements'!$E$3:$E$1002,"Transfer",'Movements'!$H$3:$H$1002,$C86)-SUMIFS('Movements'!$F$3:$F$1002,'Movements'!$B$3:$B$1002,$A86,'Movements'!$E$3:$E$1002,"Transfer",'Movements'!$G$3:$G$1002,$C86))</f>
        <v/>
      </c>
      <c r="G86" s="15">
        <f>IF($A86="","",'Items'!$I86)</f>
        <v/>
      </c>
      <c r="H86" s="8">
        <f>IF(OR($A86="",$G86=""),"",IF($F86&lt;$G86,"Below minimum","OK"))</f>
        <v/>
      </c>
      <c r="I86" s="18">
        <f>IF($A86="","",IF(SUMPRODUCT(SMALL(('Batches'!$A$3:$A$302=$A86)*('Batches'!$G$3:$G$302=$C86)*('Batches'!$D$3:$D$302&gt;0)*('Batches'!$H$3:$H$302&gt;0)*'Batches'!$D$3:$D$302+(1-('Batches'!$A$3:$A$302=$A86)*('Batches'!$G$3:$G$302=$C86)*('Batches'!$D$3:$D$302&gt;0)*('Batches'!$H$3:$H$302&gt;0))*100000,1))&gt;=100000,"",SUMPRODUCT(SMALL(('Batches'!$A$3:$A$302=$A86)*('Batches'!$G$3:$G$302=$C86)*('Batches'!$D$3:$D$302&gt;0)*('Batches'!$H$3:$H$302&gt;0)*'Batches'!$D$3:$D$302+(1-('Batches'!$A$3:$A$302=$A86)*('Batches'!$G$3:$G$302=$C86)*('Batches'!$D$3:$D$302&gt;0)*('Batches'!$H$3:$H$302&gt;0))*100000,1))))</f>
        <v/>
      </c>
      <c r="J86" s="16">
        <f>IF($A86="","",SUMIFS('Batches'!$H$3:$H$302,'Batches'!$A$3:$A$302,$A86,'Batches'!$G$3:$G$302,$C86,'Batches'!$D$3:$D$302,"&gt;0",'Batches'!$D$3:$D$302,"&lt;="&amp;('Settings'!$B$6+'Settings'!$B$7)))</f>
        <v/>
      </c>
      <c r="K86" s="19">
        <f>IF($A86="","",'Items'!$F86)</f>
        <v/>
      </c>
      <c r="L86" s="19">
        <f>IF($A86="","",$F86*$K86)</f>
        <v/>
      </c>
      <c r="M86" s="16">
        <f>IF($A86="","",IF(AND($H86="Below minimum",OR('Order list'!$B$4="",$D86='Order list'!$B$4)),IFERROR(MATCH($D86,Suppliers,0),99)*10000+ROW(),""))</f>
        <v/>
      </c>
    </row>
    <row r="87">
      <c r="A87" s="8">
        <f>IF('Items'!$A87="","",'Items'!$A87)</f>
        <v/>
      </c>
      <c r="B87" s="8">
        <f>IF($A87="","",'Items'!$B87)</f>
        <v/>
      </c>
      <c r="C87" s="8">
        <f>IF($A87="","",'Items'!$K87)</f>
        <v/>
      </c>
      <c r="D87" s="8">
        <f>IF($A87="","",'Items'!$E87)</f>
        <v/>
      </c>
      <c r="E87" s="8">
        <f>IF($A87="","",'Items'!$D87)</f>
        <v/>
      </c>
      <c r="F87" s="16">
        <f>IF($A87="","",SUMIFS('Batches'!$E$3:$E$302,'Batches'!$A$3:$A$302,$A87,'Batches'!$G$3:$G$302,$C87)+SUMIFS('Movements'!$F$3:$F$1002,'Movements'!$B$3:$B$1002,$A87,'Movements'!$E$3:$E$1002,"In",'Movements'!$H$3:$H$1002,$C87)-SUMIFS('Movements'!$F$3:$F$1002,'Movements'!$B$3:$B$1002,$A87,'Movements'!$E$3:$E$1002,"Out",'Movements'!$G$3:$G$1002,$C87)-SUMIFS('Movements'!$F$3:$F$1002,'Movements'!$B$3:$B$1002,$A87,'Movements'!$E$3:$E$1002,"Waste",'Movements'!$G$3:$G$1002,$C87)+SUMIFS('Movements'!$F$3:$F$1002,'Movements'!$B$3:$B$1002,$A87,'Movements'!$E$3:$E$1002,"Transfer",'Movements'!$H$3:$H$1002,$C87)-SUMIFS('Movements'!$F$3:$F$1002,'Movements'!$B$3:$B$1002,$A87,'Movements'!$E$3:$E$1002,"Transfer",'Movements'!$G$3:$G$1002,$C87))</f>
        <v/>
      </c>
      <c r="G87" s="15">
        <f>IF($A87="","",'Items'!$I87)</f>
        <v/>
      </c>
      <c r="H87" s="8">
        <f>IF(OR($A87="",$G87=""),"",IF($F87&lt;$G87,"Below minimum","OK"))</f>
        <v/>
      </c>
      <c r="I87" s="18">
        <f>IF($A87="","",IF(SUMPRODUCT(SMALL(('Batches'!$A$3:$A$302=$A87)*('Batches'!$G$3:$G$302=$C87)*('Batches'!$D$3:$D$302&gt;0)*('Batches'!$H$3:$H$302&gt;0)*'Batches'!$D$3:$D$302+(1-('Batches'!$A$3:$A$302=$A87)*('Batches'!$G$3:$G$302=$C87)*('Batches'!$D$3:$D$302&gt;0)*('Batches'!$H$3:$H$302&gt;0))*100000,1))&gt;=100000,"",SUMPRODUCT(SMALL(('Batches'!$A$3:$A$302=$A87)*('Batches'!$G$3:$G$302=$C87)*('Batches'!$D$3:$D$302&gt;0)*('Batches'!$H$3:$H$302&gt;0)*'Batches'!$D$3:$D$302+(1-('Batches'!$A$3:$A$302=$A87)*('Batches'!$G$3:$G$302=$C87)*('Batches'!$D$3:$D$302&gt;0)*('Batches'!$H$3:$H$302&gt;0))*100000,1))))</f>
        <v/>
      </c>
      <c r="J87" s="16">
        <f>IF($A87="","",SUMIFS('Batches'!$H$3:$H$302,'Batches'!$A$3:$A$302,$A87,'Batches'!$G$3:$G$302,$C87,'Batches'!$D$3:$D$302,"&gt;0",'Batches'!$D$3:$D$302,"&lt;="&amp;('Settings'!$B$6+'Settings'!$B$7)))</f>
        <v/>
      </c>
      <c r="K87" s="19">
        <f>IF($A87="","",'Items'!$F87)</f>
        <v/>
      </c>
      <c r="L87" s="19">
        <f>IF($A87="","",$F87*$K87)</f>
        <v/>
      </c>
      <c r="M87" s="16">
        <f>IF($A87="","",IF(AND($H87="Below minimum",OR('Order list'!$B$4="",$D87='Order list'!$B$4)),IFERROR(MATCH($D87,Suppliers,0),99)*10000+ROW(),""))</f>
        <v/>
      </c>
    </row>
    <row r="88">
      <c r="A88" s="8">
        <f>IF('Items'!$A88="","",'Items'!$A88)</f>
        <v/>
      </c>
      <c r="B88" s="8">
        <f>IF($A88="","",'Items'!$B88)</f>
        <v/>
      </c>
      <c r="C88" s="8">
        <f>IF($A88="","",'Items'!$K88)</f>
        <v/>
      </c>
      <c r="D88" s="8">
        <f>IF($A88="","",'Items'!$E88)</f>
        <v/>
      </c>
      <c r="E88" s="8">
        <f>IF($A88="","",'Items'!$D88)</f>
        <v/>
      </c>
      <c r="F88" s="16">
        <f>IF($A88="","",SUMIFS('Batches'!$E$3:$E$302,'Batches'!$A$3:$A$302,$A88,'Batches'!$G$3:$G$302,$C88)+SUMIFS('Movements'!$F$3:$F$1002,'Movements'!$B$3:$B$1002,$A88,'Movements'!$E$3:$E$1002,"In",'Movements'!$H$3:$H$1002,$C88)-SUMIFS('Movements'!$F$3:$F$1002,'Movements'!$B$3:$B$1002,$A88,'Movements'!$E$3:$E$1002,"Out",'Movements'!$G$3:$G$1002,$C88)-SUMIFS('Movements'!$F$3:$F$1002,'Movements'!$B$3:$B$1002,$A88,'Movements'!$E$3:$E$1002,"Waste",'Movements'!$G$3:$G$1002,$C88)+SUMIFS('Movements'!$F$3:$F$1002,'Movements'!$B$3:$B$1002,$A88,'Movements'!$E$3:$E$1002,"Transfer",'Movements'!$H$3:$H$1002,$C88)-SUMIFS('Movements'!$F$3:$F$1002,'Movements'!$B$3:$B$1002,$A88,'Movements'!$E$3:$E$1002,"Transfer",'Movements'!$G$3:$G$1002,$C88))</f>
        <v/>
      </c>
      <c r="G88" s="15">
        <f>IF($A88="","",'Items'!$I88)</f>
        <v/>
      </c>
      <c r="H88" s="8">
        <f>IF(OR($A88="",$G88=""),"",IF($F88&lt;$G88,"Below minimum","OK"))</f>
        <v/>
      </c>
      <c r="I88" s="18">
        <f>IF($A88="","",IF(SUMPRODUCT(SMALL(('Batches'!$A$3:$A$302=$A88)*('Batches'!$G$3:$G$302=$C88)*('Batches'!$D$3:$D$302&gt;0)*('Batches'!$H$3:$H$302&gt;0)*'Batches'!$D$3:$D$302+(1-('Batches'!$A$3:$A$302=$A88)*('Batches'!$G$3:$G$302=$C88)*('Batches'!$D$3:$D$302&gt;0)*('Batches'!$H$3:$H$302&gt;0))*100000,1))&gt;=100000,"",SUMPRODUCT(SMALL(('Batches'!$A$3:$A$302=$A88)*('Batches'!$G$3:$G$302=$C88)*('Batches'!$D$3:$D$302&gt;0)*('Batches'!$H$3:$H$302&gt;0)*'Batches'!$D$3:$D$302+(1-('Batches'!$A$3:$A$302=$A88)*('Batches'!$G$3:$G$302=$C88)*('Batches'!$D$3:$D$302&gt;0)*('Batches'!$H$3:$H$302&gt;0))*100000,1))))</f>
        <v/>
      </c>
      <c r="J88" s="16">
        <f>IF($A88="","",SUMIFS('Batches'!$H$3:$H$302,'Batches'!$A$3:$A$302,$A88,'Batches'!$G$3:$G$302,$C88,'Batches'!$D$3:$D$302,"&gt;0",'Batches'!$D$3:$D$302,"&lt;="&amp;('Settings'!$B$6+'Settings'!$B$7)))</f>
        <v/>
      </c>
      <c r="K88" s="19">
        <f>IF($A88="","",'Items'!$F88)</f>
        <v/>
      </c>
      <c r="L88" s="19">
        <f>IF($A88="","",$F88*$K88)</f>
        <v/>
      </c>
      <c r="M88" s="16">
        <f>IF($A88="","",IF(AND($H88="Below minimum",OR('Order list'!$B$4="",$D88='Order list'!$B$4)),IFERROR(MATCH($D88,Suppliers,0),99)*10000+ROW(),""))</f>
        <v/>
      </c>
    </row>
    <row r="89">
      <c r="A89" s="8">
        <f>IF('Items'!$A89="","",'Items'!$A89)</f>
        <v/>
      </c>
      <c r="B89" s="8">
        <f>IF($A89="","",'Items'!$B89)</f>
        <v/>
      </c>
      <c r="C89" s="8">
        <f>IF($A89="","",'Items'!$K89)</f>
        <v/>
      </c>
      <c r="D89" s="8">
        <f>IF($A89="","",'Items'!$E89)</f>
        <v/>
      </c>
      <c r="E89" s="8">
        <f>IF($A89="","",'Items'!$D89)</f>
        <v/>
      </c>
      <c r="F89" s="16">
        <f>IF($A89="","",SUMIFS('Batches'!$E$3:$E$302,'Batches'!$A$3:$A$302,$A89,'Batches'!$G$3:$G$302,$C89)+SUMIFS('Movements'!$F$3:$F$1002,'Movements'!$B$3:$B$1002,$A89,'Movements'!$E$3:$E$1002,"In",'Movements'!$H$3:$H$1002,$C89)-SUMIFS('Movements'!$F$3:$F$1002,'Movements'!$B$3:$B$1002,$A89,'Movements'!$E$3:$E$1002,"Out",'Movements'!$G$3:$G$1002,$C89)-SUMIFS('Movements'!$F$3:$F$1002,'Movements'!$B$3:$B$1002,$A89,'Movements'!$E$3:$E$1002,"Waste",'Movements'!$G$3:$G$1002,$C89)+SUMIFS('Movements'!$F$3:$F$1002,'Movements'!$B$3:$B$1002,$A89,'Movements'!$E$3:$E$1002,"Transfer",'Movements'!$H$3:$H$1002,$C89)-SUMIFS('Movements'!$F$3:$F$1002,'Movements'!$B$3:$B$1002,$A89,'Movements'!$E$3:$E$1002,"Transfer",'Movements'!$G$3:$G$1002,$C89))</f>
        <v/>
      </c>
      <c r="G89" s="15">
        <f>IF($A89="","",'Items'!$I89)</f>
        <v/>
      </c>
      <c r="H89" s="8">
        <f>IF(OR($A89="",$G89=""),"",IF($F89&lt;$G89,"Below minimum","OK"))</f>
        <v/>
      </c>
      <c r="I89" s="18">
        <f>IF($A89="","",IF(SUMPRODUCT(SMALL(('Batches'!$A$3:$A$302=$A89)*('Batches'!$G$3:$G$302=$C89)*('Batches'!$D$3:$D$302&gt;0)*('Batches'!$H$3:$H$302&gt;0)*'Batches'!$D$3:$D$302+(1-('Batches'!$A$3:$A$302=$A89)*('Batches'!$G$3:$G$302=$C89)*('Batches'!$D$3:$D$302&gt;0)*('Batches'!$H$3:$H$302&gt;0))*100000,1))&gt;=100000,"",SUMPRODUCT(SMALL(('Batches'!$A$3:$A$302=$A89)*('Batches'!$G$3:$G$302=$C89)*('Batches'!$D$3:$D$302&gt;0)*('Batches'!$H$3:$H$302&gt;0)*'Batches'!$D$3:$D$302+(1-('Batches'!$A$3:$A$302=$A89)*('Batches'!$G$3:$G$302=$C89)*('Batches'!$D$3:$D$302&gt;0)*('Batches'!$H$3:$H$302&gt;0))*100000,1))))</f>
        <v/>
      </c>
      <c r="J89" s="16">
        <f>IF($A89="","",SUMIFS('Batches'!$H$3:$H$302,'Batches'!$A$3:$A$302,$A89,'Batches'!$G$3:$G$302,$C89,'Batches'!$D$3:$D$302,"&gt;0",'Batches'!$D$3:$D$302,"&lt;="&amp;('Settings'!$B$6+'Settings'!$B$7)))</f>
        <v/>
      </c>
      <c r="K89" s="19">
        <f>IF($A89="","",'Items'!$F89)</f>
        <v/>
      </c>
      <c r="L89" s="19">
        <f>IF($A89="","",$F89*$K89)</f>
        <v/>
      </c>
      <c r="M89" s="16">
        <f>IF($A89="","",IF(AND($H89="Below minimum",OR('Order list'!$B$4="",$D89='Order list'!$B$4)),IFERROR(MATCH($D89,Suppliers,0),99)*10000+ROW(),""))</f>
        <v/>
      </c>
    </row>
    <row r="90">
      <c r="A90" s="8">
        <f>IF('Items'!$A90="","",'Items'!$A90)</f>
        <v/>
      </c>
      <c r="B90" s="8">
        <f>IF($A90="","",'Items'!$B90)</f>
        <v/>
      </c>
      <c r="C90" s="8">
        <f>IF($A90="","",'Items'!$K90)</f>
        <v/>
      </c>
      <c r="D90" s="8">
        <f>IF($A90="","",'Items'!$E90)</f>
        <v/>
      </c>
      <c r="E90" s="8">
        <f>IF($A90="","",'Items'!$D90)</f>
        <v/>
      </c>
      <c r="F90" s="16">
        <f>IF($A90="","",SUMIFS('Batches'!$E$3:$E$302,'Batches'!$A$3:$A$302,$A90,'Batches'!$G$3:$G$302,$C90)+SUMIFS('Movements'!$F$3:$F$1002,'Movements'!$B$3:$B$1002,$A90,'Movements'!$E$3:$E$1002,"In",'Movements'!$H$3:$H$1002,$C90)-SUMIFS('Movements'!$F$3:$F$1002,'Movements'!$B$3:$B$1002,$A90,'Movements'!$E$3:$E$1002,"Out",'Movements'!$G$3:$G$1002,$C90)-SUMIFS('Movements'!$F$3:$F$1002,'Movements'!$B$3:$B$1002,$A90,'Movements'!$E$3:$E$1002,"Waste",'Movements'!$G$3:$G$1002,$C90)+SUMIFS('Movements'!$F$3:$F$1002,'Movements'!$B$3:$B$1002,$A90,'Movements'!$E$3:$E$1002,"Transfer",'Movements'!$H$3:$H$1002,$C90)-SUMIFS('Movements'!$F$3:$F$1002,'Movements'!$B$3:$B$1002,$A90,'Movements'!$E$3:$E$1002,"Transfer",'Movements'!$G$3:$G$1002,$C90))</f>
        <v/>
      </c>
      <c r="G90" s="15">
        <f>IF($A90="","",'Items'!$I90)</f>
        <v/>
      </c>
      <c r="H90" s="8">
        <f>IF(OR($A90="",$G90=""),"",IF($F90&lt;$G90,"Below minimum","OK"))</f>
        <v/>
      </c>
      <c r="I90" s="18">
        <f>IF($A90="","",IF(SUMPRODUCT(SMALL(('Batches'!$A$3:$A$302=$A90)*('Batches'!$G$3:$G$302=$C90)*('Batches'!$D$3:$D$302&gt;0)*('Batches'!$H$3:$H$302&gt;0)*'Batches'!$D$3:$D$302+(1-('Batches'!$A$3:$A$302=$A90)*('Batches'!$G$3:$G$302=$C90)*('Batches'!$D$3:$D$302&gt;0)*('Batches'!$H$3:$H$302&gt;0))*100000,1))&gt;=100000,"",SUMPRODUCT(SMALL(('Batches'!$A$3:$A$302=$A90)*('Batches'!$G$3:$G$302=$C90)*('Batches'!$D$3:$D$302&gt;0)*('Batches'!$H$3:$H$302&gt;0)*'Batches'!$D$3:$D$302+(1-('Batches'!$A$3:$A$302=$A90)*('Batches'!$G$3:$G$302=$C90)*('Batches'!$D$3:$D$302&gt;0)*('Batches'!$H$3:$H$302&gt;0))*100000,1))))</f>
        <v/>
      </c>
      <c r="J90" s="16">
        <f>IF($A90="","",SUMIFS('Batches'!$H$3:$H$302,'Batches'!$A$3:$A$302,$A90,'Batches'!$G$3:$G$302,$C90,'Batches'!$D$3:$D$302,"&gt;0",'Batches'!$D$3:$D$302,"&lt;="&amp;('Settings'!$B$6+'Settings'!$B$7)))</f>
        <v/>
      </c>
      <c r="K90" s="19">
        <f>IF($A90="","",'Items'!$F90)</f>
        <v/>
      </c>
      <c r="L90" s="19">
        <f>IF($A90="","",$F90*$K90)</f>
        <v/>
      </c>
      <c r="M90" s="16">
        <f>IF($A90="","",IF(AND($H90="Below minimum",OR('Order list'!$B$4="",$D90='Order list'!$B$4)),IFERROR(MATCH($D90,Suppliers,0),99)*10000+ROW(),""))</f>
        <v/>
      </c>
    </row>
    <row r="91">
      <c r="A91" s="8">
        <f>IF('Items'!$A91="","",'Items'!$A91)</f>
        <v/>
      </c>
      <c r="B91" s="8">
        <f>IF($A91="","",'Items'!$B91)</f>
        <v/>
      </c>
      <c r="C91" s="8">
        <f>IF($A91="","",'Items'!$K91)</f>
        <v/>
      </c>
      <c r="D91" s="8">
        <f>IF($A91="","",'Items'!$E91)</f>
        <v/>
      </c>
      <c r="E91" s="8">
        <f>IF($A91="","",'Items'!$D91)</f>
        <v/>
      </c>
      <c r="F91" s="16">
        <f>IF($A91="","",SUMIFS('Batches'!$E$3:$E$302,'Batches'!$A$3:$A$302,$A91,'Batches'!$G$3:$G$302,$C91)+SUMIFS('Movements'!$F$3:$F$1002,'Movements'!$B$3:$B$1002,$A91,'Movements'!$E$3:$E$1002,"In",'Movements'!$H$3:$H$1002,$C91)-SUMIFS('Movements'!$F$3:$F$1002,'Movements'!$B$3:$B$1002,$A91,'Movements'!$E$3:$E$1002,"Out",'Movements'!$G$3:$G$1002,$C91)-SUMIFS('Movements'!$F$3:$F$1002,'Movements'!$B$3:$B$1002,$A91,'Movements'!$E$3:$E$1002,"Waste",'Movements'!$G$3:$G$1002,$C91)+SUMIFS('Movements'!$F$3:$F$1002,'Movements'!$B$3:$B$1002,$A91,'Movements'!$E$3:$E$1002,"Transfer",'Movements'!$H$3:$H$1002,$C91)-SUMIFS('Movements'!$F$3:$F$1002,'Movements'!$B$3:$B$1002,$A91,'Movements'!$E$3:$E$1002,"Transfer",'Movements'!$G$3:$G$1002,$C91))</f>
        <v/>
      </c>
      <c r="G91" s="15">
        <f>IF($A91="","",'Items'!$I91)</f>
        <v/>
      </c>
      <c r="H91" s="8">
        <f>IF(OR($A91="",$G91=""),"",IF($F91&lt;$G91,"Below minimum","OK"))</f>
        <v/>
      </c>
      <c r="I91" s="18">
        <f>IF($A91="","",IF(SUMPRODUCT(SMALL(('Batches'!$A$3:$A$302=$A91)*('Batches'!$G$3:$G$302=$C91)*('Batches'!$D$3:$D$302&gt;0)*('Batches'!$H$3:$H$302&gt;0)*'Batches'!$D$3:$D$302+(1-('Batches'!$A$3:$A$302=$A91)*('Batches'!$G$3:$G$302=$C91)*('Batches'!$D$3:$D$302&gt;0)*('Batches'!$H$3:$H$302&gt;0))*100000,1))&gt;=100000,"",SUMPRODUCT(SMALL(('Batches'!$A$3:$A$302=$A91)*('Batches'!$G$3:$G$302=$C91)*('Batches'!$D$3:$D$302&gt;0)*('Batches'!$H$3:$H$302&gt;0)*'Batches'!$D$3:$D$302+(1-('Batches'!$A$3:$A$302=$A91)*('Batches'!$G$3:$G$302=$C91)*('Batches'!$D$3:$D$302&gt;0)*('Batches'!$H$3:$H$302&gt;0))*100000,1))))</f>
        <v/>
      </c>
      <c r="J91" s="16">
        <f>IF($A91="","",SUMIFS('Batches'!$H$3:$H$302,'Batches'!$A$3:$A$302,$A91,'Batches'!$G$3:$G$302,$C91,'Batches'!$D$3:$D$302,"&gt;0",'Batches'!$D$3:$D$302,"&lt;="&amp;('Settings'!$B$6+'Settings'!$B$7)))</f>
        <v/>
      </c>
      <c r="K91" s="19">
        <f>IF($A91="","",'Items'!$F91)</f>
        <v/>
      </c>
      <c r="L91" s="19">
        <f>IF($A91="","",$F91*$K91)</f>
        <v/>
      </c>
      <c r="M91" s="16">
        <f>IF($A91="","",IF(AND($H91="Below minimum",OR('Order list'!$B$4="",$D91='Order list'!$B$4)),IFERROR(MATCH($D91,Suppliers,0),99)*10000+ROW(),""))</f>
        <v/>
      </c>
    </row>
    <row r="92">
      <c r="A92" s="8">
        <f>IF('Items'!$A92="","",'Items'!$A92)</f>
        <v/>
      </c>
      <c r="B92" s="8">
        <f>IF($A92="","",'Items'!$B92)</f>
        <v/>
      </c>
      <c r="C92" s="8">
        <f>IF($A92="","",'Items'!$K92)</f>
        <v/>
      </c>
      <c r="D92" s="8">
        <f>IF($A92="","",'Items'!$E92)</f>
        <v/>
      </c>
      <c r="E92" s="8">
        <f>IF($A92="","",'Items'!$D92)</f>
        <v/>
      </c>
      <c r="F92" s="16">
        <f>IF($A92="","",SUMIFS('Batches'!$E$3:$E$302,'Batches'!$A$3:$A$302,$A92,'Batches'!$G$3:$G$302,$C92)+SUMIFS('Movements'!$F$3:$F$1002,'Movements'!$B$3:$B$1002,$A92,'Movements'!$E$3:$E$1002,"In",'Movements'!$H$3:$H$1002,$C92)-SUMIFS('Movements'!$F$3:$F$1002,'Movements'!$B$3:$B$1002,$A92,'Movements'!$E$3:$E$1002,"Out",'Movements'!$G$3:$G$1002,$C92)-SUMIFS('Movements'!$F$3:$F$1002,'Movements'!$B$3:$B$1002,$A92,'Movements'!$E$3:$E$1002,"Waste",'Movements'!$G$3:$G$1002,$C92)+SUMIFS('Movements'!$F$3:$F$1002,'Movements'!$B$3:$B$1002,$A92,'Movements'!$E$3:$E$1002,"Transfer",'Movements'!$H$3:$H$1002,$C92)-SUMIFS('Movements'!$F$3:$F$1002,'Movements'!$B$3:$B$1002,$A92,'Movements'!$E$3:$E$1002,"Transfer",'Movements'!$G$3:$G$1002,$C92))</f>
        <v/>
      </c>
      <c r="G92" s="15">
        <f>IF($A92="","",'Items'!$I92)</f>
        <v/>
      </c>
      <c r="H92" s="8">
        <f>IF(OR($A92="",$G92=""),"",IF($F92&lt;$G92,"Below minimum","OK"))</f>
        <v/>
      </c>
      <c r="I92" s="18">
        <f>IF($A92="","",IF(SUMPRODUCT(SMALL(('Batches'!$A$3:$A$302=$A92)*('Batches'!$G$3:$G$302=$C92)*('Batches'!$D$3:$D$302&gt;0)*('Batches'!$H$3:$H$302&gt;0)*'Batches'!$D$3:$D$302+(1-('Batches'!$A$3:$A$302=$A92)*('Batches'!$G$3:$G$302=$C92)*('Batches'!$D$3:$D$302&gt;0)*('Batches'!$H$3:$H$302&gt;0))*100000,1))&gt;=100000,"",SUMPRODUCT(SMALL(('Batches'!$A$3:$A$302=$A92)*('Batches'!$G$3:$G$302=$C92)*('Batches'!$D$3:$D$302&gt;0)*('Batches'!$H$3:$H$302&gt;0)*'Batches'!$D$3:$D$302+(1-('Batches'!$A$3:$A$302=$A92)*('Batches'!$G$3:$G$302=$C92)*('Batches'!$D$3:$D$302&gt;0)*('Batches'!$H$3:$H$302&gt;0))*100000,1))))</f>
        <v/>
      </c>
      <c r="J92" s="16">
        <f>IF($A92="","",SUMIFS('Batches'!$H$3:$H$302,'Batches'!$A$3:$A$302,$A92,'Batches'!$G$3:$G$302,$C92,'Batches'!$D$3:$D$302,"&gt;0",'Batches'!$D$3:$D$302,"&lt;="&amp;('Settings'!$B$6+'Settings'!$B$7)))</f>
        <v/>
      </c>
      <c r="K92" s="19">
        <f>IF($A92="","",'Items'!$F92)</f>
        <v/>
      </c>
      <c r="L92" s="19">
        <f>IF($A92="","",$F92*$K92)</f>
        <v/>
      </c>
      <c r="M92" s="16">
        <f>IF($A92="","",IF(AND($H92="Below minimum",OR('Order list'!$B$4="",$D92='Order list'!$B$4)),IFERROR(MATCH($D92,Suppliers,0),99)*10000+ROW(),""))</f>
        <v/>
      </c>
    </row>
    <row r="93">
      <c r="A93" s="8">
        <f>IF('Items'!$A93="","",'Items'!$A93)</f>
        <v/>
      </c>
      <c r="B93" s="8">
        <f>IF($A93="","",'Items'!$B93)</f>
        <v/>
      </c>
      <c r="C93" s="8">
        <f>IF($A93="","",'Items'!$K93)</f>
        <v/>
      </c>
      <c r="D93" s="8">
        <f>IF($A93="","",'Items'!$E93)</f>
        <v/>
      </c>
      <c r="E93" s="8">
        <f>IF($A93="","",'Items'!$D93)</f>
        <v/>
      </c>
      <c r="F93" s="16">
        <f>IF($A93="","",SUMIFS('Batches'!$E$3:$E$302,'Batches'!$A$3:$A$302,$A93,'Batches'!$G$3:$G$302,$C93)+SUMIFS('Movements'!$F$3:$F$1002,'Movements'!$B$3:$B$1002,$A93,'Movements'!$E$3:$E$1002,"In",'Movements'!$H$3:$H$1002,$C93)-SUMIFS('Movements'!$F$3:$F$1002,'Movements'!$B$3:$B$1002,$A93,'Movements'!$E$3:$E$1002,"Out",'Movements'!$G$3:$G$1002,$C93)-SUMIFS('Movements'!$F$3:$F$1002,'Movements'!$B$3:$B$1002,$A93,'Movements'!$E$3:$E$1002,"Waste",'Movements'!$G$3:$G$1002,$C93)+SUMIFS('Movements'!$F$3:$F$1002,'Movements'!$B$3:$B$1002,$A93,'Movements'!$E$3:$E$1002,"Transfer",'Movements'!$H$3:$H$1002,$C93)-SUMIFS('Movements'!$F$3:$F$1002,'Movements'!$B$3:$B$1002,$A93,'Movements'!$E$3:$E$1002,"Transfer",'Movements'!$G$3:$G$1002,$C93))</f>
        <v/>
      </c>
      <c r="G93" s="15">
        <f>IF($A93="","",'Items'!$I93)</f>
        <v/>
      </c>
      <c r="H93" s="8">
        <f>IF(OR($A93="",$G93=""),"",IF($F93&lt;$G93,"Below minimum","OK"))</f>
        <v/>
      </c>
      <c r="I93" s="18">
        <f>IF($A93="","",IF(SUMPRODUCT(SMALL(('Batches'!$A$3:$A$302=$A93)*('Batches'!$G$3:$G$302=$C93)*('Batches'!$D$3:$D$302&gt;0)*('Batches'!$H$3:$H$302&gt;0)*'Batches'!$D$3:$D$302+(1-('Batches'!$A$3:$A$302=$A93)*('Batches'!$G$3:$G$302=$C93)*('Batches'!$D$3:$D$302&gt;0)*('Batches'!$H$3:$H$302&gt;0))*100000,1))&gt;=100000,"",SUMPRODUCT(SMALL(('Batches'!$A$3:$A$302=$A93)*('Batches'!$G$3:$G$302=$C93)*('Batches'!$D$3:$D$302&gt;0)*('Batches'!$H$3:$H$302&gt;0)*'Batches'!$D$3:$D$302+(1-('Batches'!$A$3:$A$302=$A93)*('Batches'!$G$3:$G$302=$C93)*('Batches'!$D$3:$D$302&gt;0)*('Batches'!$H$3:$H$302&gt;0))*100000,1))))</f>
        <v/>
      </c>
      <c r="J93" s="16">
        <f>IF($A93="","",SUMIFS('Batches'!$H$3:$H$302,'Batches'!$A$3:$A$302,$A93,'Batches'!$G$3:$G$302,$C93,'Batches'!$D$3:$D$302,"&gt;0",'Batches'!$D$3:$D$302,"&lt;="&amp;('Settings'!$B$6+'Settings'!$B$7)))</f>
        <v/>
      </c>
      <c r="K93" s="19">
        <f>IF($A93="","",'Items'!$F93)</f>
        <v/>
      </c>
      <c r="L93" s="19">
        <f>IF($A93="","",$F93*$K93)</f>
        <v/>
      </c>
      <c r="M93" s="16">
        <f>IF($A93="","",IF(AND($H93="Below minimum",OR('Order list'!$B$4="",$D93='Order list'!$B$4)),IFERROR(MATCH($D93,Suppliers,0),99)*10000+ROW(),""))</f>
        <v/>
      </c>
    </row>
    <row r="94">
      <c r="A94" s="8">
        <f>IF('Items'!$A94="","",'Items'!$A94)</f>
        <v/>
      </c>
      <c r="B94" s="8">
        <f>IF($A94="","",'Items'!$B94)</f>
        <v/>
      </c>
      <c r="C94" s="8">
        <f>IF($A94="","",'Items'!$K94)</f>
        <v/>
      </c>
      <c r="D94" s="8">
        <f>IF($A94="","",'Items'!$E94)</f>
        <v/>
      </c>
      <c r="E94" s="8">
        <f>IF($A94="","",'Items'!$D94)</f>
        <v/>
      </c>
      <c r="F94" s="16">
        <f>IF($A94="","",SUMIFS('Batches'!$E$3:$E$302,'Batches'!$A$3:$A$302,$A94,'Batches'!$G$3:$G$302,$C94)+SUMIFS('Movements'!$F$3:$F$1002,'Movements'!$B$3:$B$1002,$A94,'Movements'!$E$3:$E$1002,"In",'Movements'!$H$3:$H$1002,$C94)-SUMIFS('Movements'!$F$3:$F$1002,'Movements'!$B$3:$B$1002,$A94,'Movements'!$E$3:$E$1002,"Out",'Movements'!$G$3:$G$1002,$C94)-SUMIFS('Movements'!$F$3:$F$1002,'Movements'!$B$3:$B$1002,$A94,'Movements'!$E$3:$E$1002,"Waste",'Movements'!$G$3:$G$1002,$C94)+SUMIFS('Movements'!$F$3:$F$1002,'Movements'!$B$3:$B$1002,$A94,'Movements'!$E$3:$E$1002,"Transfer",'Movements'!$H$3:$H$1002,$C94)-SUMIFS('Movements'!$F$3:$F$1002,'Movements'!$B$3:$B$1002,$A94,'Movements'!$E$3:$E$1002,"Transfer",'Movements'!$G$3:$G$1002,$C94))</f>
        <v/>
      </c>
      <c r="G94" s="15">
        <f>IF($A94="","",'Items'!$I94)</f>
        <v/>
      </c>
      <c r="H94" s="8">
        <f>IF(OR($A94="",$G94=""),"",IF($F94&lt;$G94,"Below minimum","OK"))</f>
        <v/>
      </c>
      <c r="I94" s="18">
        <f>IF($A94="","",IF(SUMPRODUCT(SMALL(('Batches'!$A$3:$A$302=$A94)*('Batches'!$G$3:$G$302=$C94)*('Batches'!$D$3:$D$302&gt;0)*('Batches'!$H$3:$H$302&gt;0)*'Batches'!$D$3:$D$302+(1-('Batches'!$A$3:$A$302=$A94)*('Batches'!$G$3:$G$302=$C94)*('Batches'!$D$3:$D$302&gt;0)*('Batches'!$H$3:$H$302&gt;0))*100000,1))&gt;=100000,"",SUMPRODUCT(SMALL(('Batches'!$A$3:$A$302=$A94)*('Batches'!$G$3:$G$302=$C94)*('Batches'!$D$3:$D$302&gt;0)*('Batches'!$H$3:$H$302&gt;0)*'Batches'!$D$3:$D$302+(1-('Batches'!$A$3:$A$302=$A94)*('Batches'!$G$3:$G$302=$C94)*('Batches'!$D$3:$D$302&gt;0)*('Batches'!$H$3:$H$302&gt;0))*100000,1))))</f>
        <v/>
      </c>
      <c r="J94" s="16">
        <f>IF($A94="","",SUMIFS('Batches'!$H$3:$H$302,'Batches'!$A$3:$A$302,$A94,'Batches'!$G$3:$G$302,$C94,'Batches'!$D$3:$D$302,"&gt;0",'Batches'!$D$3:$D$302,"&lt;="&amp;('Settings'!$B$6+'Settings'!$B$7)))</f>
        <v/>
      </c>
      <c r="K94" s="19">
        <f>IF($A94="","",'Items'!$F94)</f>
        <v/>
      </c>
      <c r="L94" s="19">
        <f>IF($A94="","",$F94*$K94)</f>
        <v/>
      </c>
      <c r="M94" s="16">
        <f>IF($A94="","",IF(AND($H94="Below minimum",OR('Order list'!$B$4="",$D94='Order list'!$B$4)),IFERROR(MATCH($D94,Suppliers,0),99)*10000+ROW(),""))</f>
        <v/>
      </c>
    </row>
    <row r="95">
      <c r="A95" s="8">
        <f>IF('Items'!$A95="","",'Items'!$A95)</f>
        <v/>
      </c>
      <c r="B95" s="8">
        <f>IF($A95="","",'Items'!$B95)</f>
        <v/>
      </c>
      <c r="C95" s="8">
        <f>IF($A95="","",'Items'!$K95)</f>
        <v/>
      </c>
      <c r="D95" s="8">
        <f>IF($A95="","",'Items'!$E95)</f>
        <v/>
      </c>
      <c r="E95" s="8">
        <f>IF($A95="","",'Items'!$D95)</f>
        <v/>
      </c>
      <c r="F95" s="16">
        <f>IF($A95="","",SUMIFS('Batches'!$E$3:$E$302,'Batches'!$A$3:$A$302,$A95,'Batches'!$G$3:$G$302,$C95)+SUMIFS('Movements'!$F$3:$F$1002,'Movements'!$B$3:$B$1002,$A95,'Movements'!$E$3:$E$1002,"In",'Movements'!$H$3:$H$1002,$C95)-SUMIFS('Movements'!$F$3:$F$1002,'Movements'!$B$3:$B$1002,$A95,'Movements'!$E$3:$E$1002,"Out",'Movements'!$G$3:$G$1002,$C95)-SUMIFS('Movements'!$F$3:$F$1002,'Movements'!$B$3:$B$1002,$A95,'Movements'!$E$3:$E$1002,"Waste",'Movements'!$G$3:$G$1002,$C95)+SUMIFS('Movements'!$F$3:$F$1002,'Movements'!$B$3:$B$1002,$A95,'Movements'!$E$3:$E$1002,"Transfer",'Movements'!$H$3:$H$1002,$C95)-SUMIFS('Movements'!$F$3:$F$1002,'Movements'!$B$3:$B$1002,$A95,'Movements'!$E$3:$E$1002,"Transfer",'Movements'!$G$3:$G$1002,$C95))</f>
        <v/>
      </c>
      <c r="G95" s="15">
        <f>IF($A95="","",'Items'!$I95)</f>
        <v/>
      </c>
      <c r="H95" s="8">
        <f>IF(OR($A95="",$G95=""),"",IF($F95&lt;$G95,"Below minimum","OK"))</f>
        <v/>
      </c>
      <c r="I95" s="18">
        <f>IF($A95="","",IF(SUMPRODUCT(SMALL(('Batches'!$A$3:$A$302=$A95)*('Batches'!$G$3:$G$302=$C95)*('Batches'!$D$3:$D$302&gt;0)*('Batches'!$H$3:$H$302&gt;0)*'Batches'!$D$3:$D$302+(1-('Batches'!$A$3:$A$302=$A95)*('Batches'!$G$3:$G$302=$C95)*('Batches'!$D$3:$D$302&gt;0)*('Batches'!$H$3:$H$302&gt;0))*100000,1))&gt;=100000,"",SUMPRODUCT(SMALL(('Batches'!$A$3:$A$302=$A95)*('Batches'!$G$3:$G$302=$C95)*('Batches'!$D$3:$D$302&gt;0)*('Batches'!$H$3:$H$302&gt;0)*'Batches'!$D$3:$D$302+(1-('Batches'!$A$3:$A$302=$A95)*('Batches'!$G$3:$G$302=$C95)*('Batches'!$D$3:$D$302&gt;0)*('Batches'!$H$3:$H$302&gt;0))*100000,1))))</f>
        <v/>
      </c>
      <c r="J95" s="16">
        <f>IF($A95="","",SUMIFS('Batches'!$H$3:$H$302,'Batches'!$A$3:$A$302,$A95,'Batches'!$G$3:$G$302,$C95,'Batches'!$D$3:$D$302,"&gt;0",'Batches'!$D$3:$D$302,"&lt;="&amp;('Settings'!$B$6+'Settings'!$B$7)))</f>
        <v/>
      </c>
      <c r="K95" s="19">
        <f>IF($A95="","",'Items'!$F95)</f>
        <v/>
      </c>
      <c r="L95" s="19">
        <f>IF($A95="","",$F95*$K95)</f>
        <v/>
      </c>
      <c r="M95" s="16">
        <f>IF($A95="","",IF(AND($H95="Below minimum",OR('Order list'!$B$4="",$D95='Order list'!$B$4)),IFERROR(MATCH($D95,Suppliers,0),99)*10000+ROW(),""))</f>
        <v/>
      </c>
    </row>
    <row r="96">
      <c r="A96" s="8">
        <f>IF('Items'!$A96="","",'Items'!$A96)</f>
        <v/>
      </c>
      <c r="B96" s="8">
        <f>IF($A96="","",'Items'!$B96)</f>
        <v/>
      </c>
      <c r="C96" s="8">
        <f>IF($A96="","",'Items'!$K96)</f>
        <v/>
      </c>
      <c r="D96" s="8">
        <f>IF($A96="","",'Items'!$E96)</f>
        <v/>
      </c>
      <c r="E96" s="8">
        <f>IF($A96="","",'Items'!$D96)</f>
        <v/>
      </c>
      <c r="F96" s="16">
        <f>IF($A96="","",SUMIFS('Batches'!$E$3:$E$302,'Batches'!$A$3:$A$302,$A96,'Batches'!$G$3:$G$302,$C96)+SUMIFS('Movements'!$F$3:$F$1002,'Movements'!$B$3:$B$1002,$A96,'Movements'!$E$3:$E$1002,"In",'Movements'!$H$3:$H$1002,$C96)-SUMIFS('Movements'!$F$3:$F$1002,'Movements'!$B$3:$B$1002,$A96,'Movements'!$E$3:$E$1002,"Out",'Movements'!$G$3:$G$1002,$C96)-SUMIFS('Movements'!$F$3:$F$1002,'Movements'!$B$3:$B$1002,$A96,'Movements'!$E$3:$E$1002,"Waste",'Movements'!$G$3:$G$1002,$C96)+SUMIFS('Movements'!$F$3:$F$1002,'Movements'!$B$3:$B$1002,$A96,'Movements'!$E$3:$E$1002,"Transfer",'Movements'!$H$3:$H$1002,$C96)-SUMIFS('Movements'!$F$3:$F$1002,'Movements'!$B$3:$B$1002,$A96,'Movements'!$E$3:$E$1002,"Transfer",'Movements'!$G$3:$G$1002,$C96))</f>
        <v/>
      </c>
      <c r="G96" s="15">
        <f>IF($A96="","",'Items'!$I96)</f>
        <v/>
      </c>
      <c r="H96" s="8">
        <f>IF(OR($A96="",$G96=""),"",IF($F96&lt;$G96,"Below minimum","OK"))</f>
        <v/>
      </c>
      <c r="I96" s="18">
        <f>IF($A96="","",IF(SUMPRODUCT(SMALL(('Batches'!$A$3:$A$302=$A96)*('Batches'!$G$3:$G$302=$C96)*('Batches'!$D$3:$D$302&gt;0)*('Batches'!$H$3:$H$302&gt;0)*'Batches'!$D$3:$D$302+(1-('Batches'!$A$3:$A$302=$A96)*('Batches'!$G$3:$G$302=$C96)*('Batches'!$D$3:$D$302&gt;0)*('Batches'!$H$3:$H$302&gt;0))*100000,1))&gt;=100000,"",SUMPRODUCT(SMALL(('Batches'!$A$3:$A$302=$A96)*('Batches'!$G$3:$G$302=$C96)*('Batches'!$D$3:$D$302&gt;0)*('Batches'!$H$3:$H$302&gt;0)*'Batches'!$D$3:$D$302+(1-('Batches'!$A$3:$A$302=$A96)*('Batches'!$G$3:$G$302=$C96)*('Batches'!$D$3:$D$302&gt;0)*('Batches'!$H$3:$H$302&gt;0))*100000,1))))</f>
        <v/>
      </c>
      <c r="J96" s="16">
        <f>IF($A96="","",SUMIFS('Batches'!$H$3:$H$302,'Batches'!$A$3:$A$302,$A96,'Batches'!$G$3:$G$302,$C96,'Batches'!$D$3:$D$302,"&gt;0",'Batches'!$D$3:$D$302,"&lt;="&amp;('Settings'!$B$6+'Settings'!$B$7)))</f>
        <v/>
      </c>
      <c r="K96" s="19">
        <f>IF($A96="","",'Items'!$F96)</f>
        <v/>
      </c>
      <c r="L96" s="19">
        <f>IF($A96="","",$F96*$K96)</f>
        <v/>
      </c>
      <c r="M96" s="16">
        <f>IF($A96="","",IF(AND($H96="Below minimum",OR('Order list'!$B$4="",$D96='Order list'!$B$4)),IFERROR(MATCH($D96,Suppliers,0),99)*10000+ROW(),""))</f>
        <v/>
      </c>
    </row>
    <row r="97">
      <c r="A97" s="8">
        <f>IF('Items'!$A97="","",'Items'!$A97)</f>
        <v/>
      </c>
      <c r="B97" s="8">
        <f>IF($A97="","",'Items'!$B97)</f>
        <v/>
      </c>
      <c r="C97" s="8">
        <f>IF($A97="","",'Items'!$K97)</f>
        <v/>
      </c>
      <c r="D97" s="8">
        <f>IF($A97="","",'Items'!$E97)</f>
        <v/>
      </c>
      <c r="E97" s="8">
        <f>IF($A97="","",'Items'!$D97)</f>
        <v/>
      </c>
      <c r="F97" s="16">
        <f>IF($A97="","",SUMIFS('Batches'!$E$3:$E$302,'Batches'!$A$3:$A$302,$A97,'Batches'!$G$3:$G$302,$C97)+SUMIFS('Movements'!$F$3:$F$1002,'Movements'!$B$3:$B$1002,$A97,'Movements'!$E$3:$E$1002,"In",'Movements'!$H$3:$H$1002,$C97)-SUMIFS('Movements'!$F$3:$F$1002,'Movements'!$B$3:$B$1002,$A97,'Movements'!$E$3:$E$1002,"Out",'Movements'!$G$3:$G$1002,$C97)-SUMIFS('Movements'!$F$3:$F$1002,'Movements'!$B$3:$B$1002,$A97,'Movements'!$E$3:$E$1002,"Waste",'Movements'!$G$3:$G$1002,$C97)+SUMIFS('Movements'!$F$3:$F$1002,'Movements'!$B$3:$B$1002,$A97,'Movements'!$E$3:$E$1002,"Transfer",'Movements'!$H$3:$H$1002,$C97)-SUMIFS('Movements'!$F$3:$F$1002,'Movements'!$B$3:$B$1002,$A97,'Movements'!$E$3:$E$1002,"Transfer",'Movements'!$G$3:$G$1002,$C97))</f>
        <v/>
      </c>
      <c r="G97" s="15">
        <f>IF($A97="","",'Items'!$I97)</f>
        <v/>
      </c>
      <c r="H97" s="8">
        <f>IF(OR($A97="",$G97=""),"",IF($F97&lt;$G97,"Below minimum","OK"))</f>
        <v/>
      </c>
      <c r="I97" s="18">
        <f>IF($A97="","",IF(SUMPRODUCT(SMALL(('Batches'!$A$3:$A$302=$A97)*('Batches'!$G$3:$G$302=$C97)*('Batches'!$D$3:$D$302&gt;0)*('Batches'!$H$3:$H$302&gt;0)*'Batches'!$D$3:$D$302+(1-('Batches'!$A$3:$A$302=$A97)*('Batches'!$G$3:$G$302=$C97)*('Batches'!$D$3:$D$302&gt;0)*('Batches'!$H$3:$H$302&gt;0))*100000,1))&gt;=100000,"",SUMPRODUCT(SMALL(('Batches'!$A$3:$A$302=$A97)*('Batches'!$G$3:$G$302=$C97)*('Batches'!$D$3:$D$302&gt;0)*('Batches'!$H$3:$H$302&gt;0)*'Batches'!$D$3:$D$302+(1-('Batches'!$A$3:$A$302=$A97)*('Batches'!$G$3:$G$302=$C97)*('Batches'!$D$3:$D$302&gt;0)*('Batches'!$H$3:$H$302&gt;0))*100000,1))))</f>
        <v/>
      </c>
      <c r="J97" s="16">
        <f>IF($A97="","",SUMIFS('Batches'!$H$3:$H$302,'Batches'!$A$3:$A$302,$A97,'Batches'!$G$3:$G$302,$C97,'Batches'!$D$3:$D$302,"&gt;0",'Batches'!$D$3:$D$302,"&lt;="&amp;('Settings'!$B$6+'Settings'!$B$7)))</f>
        <v/>
      </c>
      <c r="K97" s="19">
        <f>IF($A97="","",'Items'!$F97)</f>
        <v/>
      </c>
      <c r="L97" s="19">
        <f>IF($A97="","",$F97*$K97)</f>
        <v/>
      </c>
      <c r="M97" s="16">
        <f>IF($A97="","",IF(AND($H97="Below minimum",OR('Order list'!$B$4="",$D97='Order list'!$B$4)),IFERROR(MATCH($D97,Suppliers,0),99)*10000+ROW(),""))</f>
        <v/>
      </c>
    </row>
    <row r="98">
      <c r="A98" s="8">
        <f>IF('Items'!$A98="","",'Items'!$A98)</f>
        <v/>
      </c>
      <c r="B98" s="8">
        <f>IF($A98="","",'Items'!$B98)</f>
        <v/>
      </c>
      <c r="C98" s="8">
        <f>IF($A98="","",'Items'!$K98)</f>
        <v/>
      </c>
      <c r="D98" s="8">
        <f>IF($A98="","",'Items'!$E98)</f>
        <v/>
      </c>
      <c r="E98" s="8">
        <f>IF($A98="","",'Items'!$D98)</f>
        <v/>
      </c>
      <c r="F98" s="16">
        <f>IF($A98="","",SUMIFS('Batches'!$E$3:$E$302,'Batches'!$A$3:$A$302,$A98,'Batches'!$G$3:$G$302,$C98)+SUMIFS('Movements'!$F$3:$F$1002,'Movements'!$B$3:$B$1002,$A98,'Movements'!$E$3:$E$1002,"In",'Movements'!$H$3:$H$1002,$C98)-SUMIFS('Movements'!$F$3:$F$1002,'Movements'!$B$3:$B$1002,$A98,'Movements'!$E$3:$E$1002,"Out",'Movements'!$G$3:$G$1002,$C98)-SUMIFS('Movements'!$F$3:$F$1002,'Movements'!$B$3:$B$1002,$A98,'Movements'!$E$3:$E$1002,"Waste",'Movements'!$G$3:$G$1002,$C98)+SUMIFS('Movements'!$F$3:$F$1002,'Movements'!$B$3:$B$1002,$A98,'Movements'!$E$3:$E$1002,"Transfer",'Movements'!$H$3:$H$1002,$C98)-SUMIFS('Movements'!$F$3:$F$1002,'Movements'!$B$3:$B$1002,$A98,'Movements'!$E$3:$E$1002,"Transfer",'Movements'!$G$3:$G$1002,$C98))</f>
        <v/>
      </c>
      <c r="G98" s="15">
        <f>IF($A98="","",'Items'!$I98)</f>
        <v/>
      </c>
      <c r="H98" s="8">
        <f>IF(OR($A98="",$G98=""),"",IF($F98&lt;$G98,"Below minimum","OK"))</f>
        <v/>
      </c>
      <c r="I98" s="18">
        <f>IF($A98="","",IF(SUMPRODUCT(SMALL(('Batches'!$A$3:$A$302=$A98)*('Batches'!$G$3:$G$302=$C98)*('Batches'!$D$3:$D$302&gt;0)*('Batches'!$H$3:$H$302&gt;0)*'Batches'!$D$3:$D$302+(1-('Batches'!$A$3:$A$302=$A98)*('Batches'!$G$3:$G$302=$C98)*('Batches'!$D$3:$D$302&gt;0)*('Batches'!$H$3:$H$302&gt;0))*100000,1))&gt;=100000,"",SUMPRODUCT(SMALL(('Batches'!$A$3:$A$302=$A98)*('Batches'!$G$3:$G$302=$C98)*('Batches'!$D$3:$D$302&gt;0)*('Batches'!$H$3:$H$302&gt;0)*'Batches'!$D$3:$D$302+(1-('Batches'!$A$3:$A$302=$A98)*('Batches'!$G$3:$G$302=$C98)*('Batches'!$D$3:$D$302&gt;0)*('Batches'!$H$3:$H$302&gt;0))*100000,1))))</f>
        <v/>
      </c>
      <c r="J98" s="16">
        <f>IF($A98="","",SUMIFS('Batches'!$H$3:$H$302,'Batches'!$A$3:$A$302,$A98,'Batches'!$G$3:$G$302,$C98,'Batches'!$D$3:$D$302,"&gt;0",'Batches'!$D$3:$D$302,"&lt;="&amp;('Settings'!$B$6+'Settings'!$B$7)))</f>
        <v/>
      </c>
      <c r="K98" s="19">
        <f>IF($A98="","",'Items'!$F98)</f>
        <v/>
      </c>
      <c r="L98" s="19">
        <f>IF($A98="","",$F98*$K98)</f>
        <v/>
      </c>
      <c r="M98" s="16">
        <f>IF($A98="","",IF(AND($H98="Below minimum",OR('Order list'!$B$4="",$D98='Order list'!$B$4)),IFERROR(MATCH($D98,Suppliers,0),99)*10000+ROW(),""))</f>
        <v/>
      </c>
    </row>
    <row r="99">
      <c r="A99" s="8">
        <f>IF('Items'!$A99="","",'Items'!$A99)</f>
        <v/>
      </c>
      <c r="B99" s="8">
        <f>IF($A99="","",'Items'!$B99)</f>
        <v/>
      </c>
      <c r="C99" s="8">
        <f>IF($A99="","",'Items'!$K99)</f>
        <v/>
      </c>
      <c r="D99" s="8">
        <f>IF($A99="","",'Items'!$E99)</f>
        <v/>
      </c>
      <c r="E99" s="8">
        <f>IF($A99="","",'Items'!$D99)</f>
        <v/>
      </c>
      <c r="F99" s="16">
        <f>IF($A99="","",SUMIFS('Batches'!$E$3:$E$302,'Batches'!$A$3:$A$302,$A99,'Batches'!$G$3:$G$302,$C99)+SUMIFS('Movements'!$F$3:$F$1002,'Movements'!$B$3:$B$1002,$A99,'Movements'!$E$3:$E$1002,"In",'Movements'!$H$3:$H$1002,$C99)-SUMIFS('Movements'!$F$3:$F$1002,'Movements'!$B$3:$B$1002,$A99,'Movements'!$E$3:$E$1002,"Out",'Movements'!$G$3:$G$1002,$C99)-SUMIFS('Movements'!$F$3:$F$1002,'Movements'!$B$3:$B$1002,$A99,'Movements'!$E$3:$E$1002,"Waste",'Movements'!$G$3:$G$1002,$C99)+SUMIFS('Movements'!$F$3:$F$1002,'Movements'!$B$3:$B$1002,$A99,'Movements'!$E$3:$E$1002,"Transfer",'Movements'!$H$3:$H$1002,$C99)-SUMIFS('Movements'!$F$3:$F$1002,'Movements'!$B$3:$B$1002,$A99,'Movements'!$E$3:$E$1002,"Transfer",'Movements'!$G$3:$G$1002,$C99))</f>
        <v/>
      </c>
      <c r="G99" s="15">
        <f>IF($A99="","",'Items'!$I99)</f>
        <v/>
      </c>
      <c r="H99" s="8">
        <f>IF(OR($A99="",$G99=""),"",IF($F99&lt;$G99,"Below minimum","OK"))</f>
        <v/>
      </c>
      <c r="I99" s="18">
        <f>IF($A99="","",IF(SUMPRODUCT(SMALL(('Batches'!$A$3:$A$302=$A99)*('Batches'!$G$3:$G$302=$C99)*('Batches'!$D$3:$D$302&gt;0)*('Batches'!$H$3:$H$302&gt;0)*'Batches'!$D$3:$D$302+(1-('Batches'!$A$3:$A$302=$A99)*('Batches'!$G$3:$G$302=$C99)*('Batches'!$D$3:$D$302&gt;0)*('Batches'!$H$3:$H$302&gt;0))*100000,1))&gt;=100000,"",SUMPRODUCT(SMALL(('Batches'!$A$3:$A$302=$A99)*('Batches'!$G$3:$G$302=$C99)*('Batches'!$D$3:$D$302&gt;0)*('Batches'!$H$3:$H$302&gt;0)*'Batches'!$D$3:$D$302+(1-('Batches'!$A$3:$A$302=$A99)*('Batches'!$G$3:$G$302=$C99)*('Batches'!$D$3:$D$302&gt;0)*('Batches'!$H$3:$H$302&gt;0))*100000,1))))</f>
        <v/>
      </c>
      <c r="J99" s="16">
        <f>IF($A99="","",SUMIFS('Batches'!$H$3:$H$302,'Batches'!$A$3:$A$302,$A99,'Batches'!$G$3:$G$302,$C99,'Batches'!$D$3:$D$302,"&gt;0",'Batches'!$D$3:$D$302,"&lt;="&amp;('Settings'!$B$6+'Settings'!$B$7)))</f>
        <v/>
      </c>
      <c r="K99" s="19">
        <f>IF($A99="","",'Items'!$F99)</f>
        <v/>
      </c>
      <c r="L99" s="19">
        <f>IF($A99="","",$F99*$K99)</f>
        <v/>
      </c>
      <c r="M99" s="16">
        <f>IF($A99="","",IF(AND($H99="Below minimum",OR('Order list'!$B$4="",$D99='Order list'!$B$4)),IFERROR(MATCH($D99,Suppliers,0),99)*10000+ROW(),""))</f>
        <v/>
      </c>
    </row>
    <row r="100">
      <c r="A100" s="8">
        <f>IF('Items'!$A100="","",'Items'!$A100)</f>
        <v/>
      </c>
      <c r="B100" s="8">
        <f>IF($A100="","",'Items'!$B100)</f>
        <v/>
      </c>
      <c r="C100" s="8">
        <f>IF($A100="","",'Items'!$K100)</f>
        <v/>
      </c>
      <c r="D100" s="8">
        <f>IF($A100="","",'Items'!$E100)</f>
        <v/>
      </c>
      <c r="E100" s="8">
        <f>IF($A100="","",'Items'!$D100)</f>
        <v/>
      </c>
      <c r="F100" s="16">
        <f>IF($A100="","",SUMIFS('Batches'!$E$3:$E$302,'Batches'!$A$3:$A$302,$A100,'Batches'!$G$3:$G$302,$C100)+SUMIFS('Movements'!$F$3:$F$1002,'Movements'!$B$3:$B$1002,$A100,'Movements'!$E$3:$E$1002,"In",'Movements'!$H$3:$H$1002,$C100)-SUMIFS('Movements'!$F$3:$F$1002,'Movements'!$B$3:$B$1002,$A100,'Movements'!$E$3:$E$1002,"Out",'Movements'!$G$3:$G$1002,$C100)-SUMIFS('Movements'!$F$3:$F$1002,'Movements'!$B$3:$B$1002,$A100,'Movements'!$E$3:$E$1002,"Waste",'Movements'!$G$3:$G$1002,$C100)+SUMIFS('Movements'!$F$3:$F$1002,'Movements'!$B$3:$B$1002,$A100,'Movements'!$E$3:$E$1002,"Transfer",'Movements'!$H$3:$H$1002,$C100)-SUMIFS('Movements'!$F$3:$F$1002,'Movements'!$B$3:$B$1002,$A100,'Movements'!$E$3:$E$1002,"Transfer",'Movements'!$G$3:$G$1002,$C100))</f>
        <v/>
      </c>
      <c r="G100" s="15">
        <f>IF($A100="","",'Items'!$I100)</f>
        <v/>
      </c>
      <c r="H100" s="8">
        <f>IF(OR($A100="",$G100=""),"",IF($F100&lt;$G100,"Below minimum","OK"))</f>
        <v/>
      </c>
      <c r="I100" s="18">
        <f>IF($A100="","",IF(SUMPRODUCT(SMALL(('Batches'!$A$3:$A$302=$A100)*('Batches'!$G$3:$G$302=$C100)*('Batches'!$D$3:$D$302&gt;0)*('Batches'!$H$3:$H$302&gt;0)*'Batches'!$D$3:$D$302+(1-('Batches'!$A$3:$A$302=$A100)*('Batches'!$G$3:$G$302=$C100)*('Batches'!$D$3:$D$302&gt;0)*('Batches'!$H$3:$H$302&gt;0))*100000,1))&gt;=100000,"",SUMPRODUCT(SMALL(('Batches'!$A$3:$A$302=$A100)*('Batches'!$G$3:$G$302=$C100)*('Batches'!$D$3:$D$302&gt;0)*('Batches'!$H$3:$H$302&gt;0)*'Batches'!$D$3:$D$302+(1-('Batches'!$A$3:$A$302=$A100)*('Batches'!$G$3:$G$302=$C100)*('Batches'!$D$3:$D$302&gt;0)*('Batches'!$H$3:$H$302&gt;0))*100000,1))))</f>
        <v/>
      </c>
      <c r="J100" s="16">
        <f>IF($A100="","",SUMIFS('Batches'!$H$3:$H$302,'Batches'!$A$3:$A$302,$A100,'Batches'!$G$3:$G$302,$C100,'Batches'!$D$3:$D$302,"&gt;0",'Batches'!$D$3:$D$302,"&lt;="&amp;('Settings'!$B$6+'Settings'!$B$7)))</f>
        <v/>
      </c>
      <c r="K100" s="19">
        <f>IF($A100="","",'Items'!$F100)</f>
        <v/>
      </c>
      <c r="L100" s="19">
        <f>IF($A100="","",$F100*$K100)</f>
        <v/>
      </c>
      <c r="M100" s="16">
        <f>IF($A100="","",IF(AND($H100="Below minimum",OR('Order list'!$B$4="",$D100='Order list'!$B$4)),IFERROR(MATCH($D100,Suppliers,0),99)*10000+ROW(),""))</f>
        <v/>
      </c>
    </row>
    <row r="101">
      <c r="A101" s="8">
        <f>IF('Items'!$A101="","",'Items'!$A101)</f>
        <v/>
      </c>
      <c r="B101" s="8">
        <f>IF($A101="","",'Items'!$B101)</f>
        <v/>
      </c>
      <c r="C101" s="8">
        <f>IF($A101="","",'Items'!$K101)</f>
        <v/>
      </c>
      <c r="D101" s="8">
        <f>IF($A101="","",'Items'!$E101)</f>
        <v/>
      </c>
      <c r="E101" s="8">
        <f>IF($A101="","",'Items'!$D101)</f>
        <v/>
      </c>
      <c r="F101" s="16">
        <f>IF($A101="","",SUMIFS('Batches'!$E$3:$E$302,'Batches'!$A$3:$A$302,$A101,'Batches'!$G$3:$G$302,$C101)+SUMIFS('Movements'!$F$3:$F$1002,'Movements'!$B$3:$B$1002,$A101,'Movements'!$E$3:$E$1002,"In",'Movements'!$H$3:$H$1002,$C101)-SUMIFS('Movements'!$F$3:$F$1002,'Movements'!$B$3:$B$1002,$A101,'Movements'!$E$3:$E$1002,"Out",'Movements'!$G$3:$G$1002,$C101)-SUMIFS('Movements'!$F$3:$F$1002,'Movements'!$B$3:$B$1002,$A101,'Movements'!$E$3:$E$1002,"Waste",'Movements'!$G$3:$G$1002,$C101)+SUMIFS('Movements'!$F$3:$F$1002,'Movements'!$B$3:$B$1002,$A101,'Movements'!$E$3:$E$1002,"Transfer",'Movements'!$H$3:$H$1002,$C101)-SUMIFS('Movements'!$F$3:$F$1002,'Movements'!$B$3:$B$1002,$A101,'Movements'!$E$3:$E$1002,"Transfer",'Movements'!$G$3:$G$1002,$C101))</f>
        <v/>
      </c>
      <c r="G101" s="15">
        <f>IF($A101="","",'Items'!$I101)</f>
        <v/>
      </c>
      <c r="H101" s="8">
        <f>IF(OR($A101="",$G101=""),"",IF($F101&lt;$G101,"Below minimum","OK"))</f>
        <v/>
      </c>
      <c r="I101" s="18">
        <f>IF($A101="","",IF(SUMPRODUCT(SMALL(('Batches'!$A$3:$A$302=$A101)*('Batches'!$G$3:$G$302=$C101)*('Batches'!$D$3:$D$302&gt;0)*('Batches'!$H$3:$H$302&gt;0)*'Batches'!$D$3:$D$302+(1-('Batches'!$A$3:$A$302=$A101)*('Batches'!$G$3:$G$302=$C101)*('Batches'!$D$3:$D$302&gt;0)*('Batches'!$H$3:$H$302&gt;0))*100000,1))&gt;=100000,"",SUMPRODUCT(SMALL(('Batches'!$A$3:$A$302=$A101)*('Batches'!$G$3:$G$302=$C101)*('Batches'!$D$3:$D$302&gt;0)*('Batches'!$H$3:$H$302&gt;0)*'Batches'!$D$3:$D$302+(1-('Batches'!$A$3:$A$302=$A101)*('Batches'!$G$3:$G$302=$C101)*('Batches'!$D$3:$D$302&gt;0)*('Batches'!$H$3:$H$302&gt;0))*100000,1))))</f>
        <v/>
      </c>
      <c r="J101" s="16">
        <f>IF($A101="","",SUMIFS('Batches'!$H$3:$H$302,'Batches'!$A$3:$A$302,$A101,'Batches'!$G$3:$G$302,$C101,'Batches'!$D$3:$D$302,"&gt;0",'Batches'!$D$3:$D$302,"&lt;="&amp;('Settings'!$B$6+'Settings'!$B$7)))</f>
        <v/>
      </c>
      <c r="K101" s="19">
        <f>IF($A101="","",'Items'!$F101)</f>
        <v/>
      </c>
      <c r="L101" s="19">
        <f>IF($A101="","",$F101*$K101)</f>
        <v/>
      </c>
      <c r="M101" s="16">
        <f>IF($A101="","",IF(AND($H101="Below minimum",OR('Order list'!$B$4="",$D101='Order list'!$B$4)),IFERROR(MATCH($D101,Suppliers,0),99)*10000+ROW(),""))</f>
        <v/>
      </c>
    </row>
    <row r="102">
      <c r="A102" s="8">
        <f>IF('Items'!$A102="","",'Items'!$A102)</f>
        <v/>
      </c>
      <c r="B102" s="8">
        <f>IF($A102="","",'Items'!$B102)</f>
        <v/>
      </c>
      <c r="C102" s="8">
        <f>IF($A102="","",'Items'!$K102)</f>
        <v/>
      </c>
      <c r="D102" s="8">
        <f>IF($A102="","",'Items'!$E102)</f>
        <v/>
      </c>
      <c r="E102" s="8">
        <f>IF($A102="","",'Items'!$D102)</f>
        <v/>
      </c>
      <c r="F102" s="16">
        <f>IF($A102="","",SUMIFS('Batches'!$E$3:$E$302,'Batches'!$A$3:$A$302,$A102,'Batches'!$G$3:$G$302,$C102)+SUMIFS('Movements'!$F$3:$F$1002,'Movements'!$B$3:$B$1002,$A102,'Movements'!$E$3:$E$1002,"In",'Movements'!$H$3:$H$1002,$C102)-SUMIFS('Movements'!$F$3:$F$1002,'Movements'!$B$3:$B$1002,$A102,'Movements'!$E$3:$E$1002,"Out",'Movements'!$G$3:$G$1002,$C102)-SUMIFS('Movements'!$F$3:$F$1002,'Movements'!$B$3:$B$1002,$A102,'Movements'!$E$3:$E$1002,"Waste",'Movements'!$G$3:$G$1002,$C102)+SUMIFS('Movements'!$F$3:$F$1002,'Movements'!$B$3:$B$1002,$A102,'Movements'!$E$3:$E$1002,"Transfer",'Movements'!$H$3:$H$1002,$C102)-SUMIFS('Movements'!$F$3:$F$1002,'Movements'!$B$3:$B$1002,$A102,'Movements'!$E$3:$E$1002,"Transfer",'Movements'!$G$3:$G$1002,$C102))</f>
        <v/>
      </c>
      <c r="G102" s="15">
        <f>IF($A102="","",'Items'!$I102)</f>
        <v/>
      </c>
      <c r="H102" s="8">
        <f>IF(OR($A102="",$G102=""),"",IF($F102&lt;$G102,"Below minimum","OK"))</f>
        <v/>
      </c>
      <c r="I102" s="18">
        <f>IF($A102="","",IF(SUMPRODUCT(SMALL(('Batches'!$A$3:$A$302=$A102)*('Batches'!$G$3:$G$302=$C102)*('Batches'!$D$3:$D$302&gt;0)*('Batches'!$H$3:$H$302&gt;0)*'Batches'!$D$3:$D$302+(1-('Batches'!$A$3:$A$302=$A102)*('Batches'!$G$3:$G$302=$C102)*('Batches'!$D$3:$D$302&gt;0)*('Batches'!$H$3:$H$302&gt;0))*100000,1))&gt;=100000,"",SUMPRODUCT(SMALL(('Batches'!$A$3:$A$302=$A102)*('Batches'!$G$3:$G$302=$C102)*('Batches'!$D$3:$D$302&gt;0)*('Batches'!$H$3:$H$302&gt;0)*'Batches'!$D$3:$D$302+(1-('Batches'!$A$3:$A$302=$A102)*('Batches'!$G$3:$G$302=$C102)*('Batches'!$D$3:$D$302&gt;0)*('Batches'!$H$3:$H$302&gt;0))*100000,1))))</f>
        <v/>
      </c>
      <c r="J102" s="16">
        <f>IF($A102="","",SUMIFS('Batches'!$H$3:$H$302,'Batches'!$A$3:$A$302,$A102,'Batches'!$G$3:$G$302,$C102,'Batches'!$D$3:$D$302,"&gt;0",'Batches'!$D$3:$D$302,"&lt;="&amp;('Settings'!$B$6+'Settings'!$B$7)))</f>
        <v/>
      </c>
      <c r="K102" s="19">
        <f>IF($A102="","",'Items'!$F102)</f>
        <v/>
      </c>
      <c r="L102" s="19">
        <f>IF($A102="","",$F102*$K102)</f>
        <v/>
      </c>
      <c r="M102" s="16">
        <f>IF($A102="","",IF(AND($H102="Below minimum",OR('Order list'!$B$4="",$D102='Order list'!$B$4)),IFERROR(MATCH($D102,Suppliers,0),99)*10000+ROW(),""))</f>
        <v/>
      </c>
    </row>
    <row r="103">
      <c r="A103" s="8">
        <f>IF('Items'!$A103="","",'Items'!$A103)</f>
        <v/>
      </c>
      <c r="B103" s="8">
        <f>IF($A103="","",'Items'!$B103)</f>
        <v/>
      </c>
      <c r="C103" s="8">
        <f>IF($A103="","",'Items'!$K103)</f>
        <v/>
      </c>
      <c r="D103" s="8">
        <f>IF($A103="","",'Items'!$E103)</f>
        <v/>
      </c>
      <c r="E103" s="8">
        <f>IF($A103="","",'Items'!$D103)</f>
        <v/>
      </c>
      <c r="F103" s="16">
        <f>IF($A103="","",SUMIFS('Batches'!$E$3:$E$302,'Batches'!$A$3:$A$302,$A103,'Batches'!$G$3:$G$302,$C103)+SUMIFS('Movements'!$F$3:$F$1002,'Movements'!$B$3:$B$1002,$A103,'Movements'!$E$3:$E$1002,"In",'Movements'!$H$3:$H$1002,$C103)-SUMIFS('Movements'!$F$3:$F$1002,'Movements'!$B$3:$B$1002,$A103,'Movements'!$E$3:$E$1002,"Out",'Movements'!$G$3:$G$1002,$C103)-SUMIFS('Movements'!$F$3:$F$1002,'Movements'!$B$3:$B$1002,$A103,'Movements'!$E$3:$E$1002,"Waste",'Movements'!$G$3:$G$1002,$C103)+SUMIFS('Movements'!$F$3:$F$1002,'Movements'!$B$3:$B$1002,$A103,'Movements'!$E$3:$E$1002,"Transfer",'Movements'!$H$3:$H$1002,$C103)-SUMIFS('Movements'!$F$3:$F$1002,'Movements'!$B$3:$B$1002,$A103,'Movements'!$E$3:$E$1002,"Transfer",'Movements'!$G$3:$G$1002,$C103))</f>
        <v/>
      </c>
      <c r="G103" s="15">
        <f>IF($A103="","",'Items'!$I103)</f>
        <v/>
      </c>
      <c r="H103" s="8">
        <f>IF(OR($A103="",$G103=""),"",IF($F103&lt;$G103,"Below minimum","OK"))</f>
        <v/>
      </c>
      <c r="I103" s="18">
        <f>IF($A103="","",IF(SUMPRODUCT(SMALL(('Batches'!$A$3:$A$302=$A103)*('Batches'!$G$3:$G$302=$C103)*('Batches'!$D$3:$D$302&gt;0)*('Batches'!$H$3:$H$302&gt;0)*'Batches'!$D$3:$D$302+(1-('Batches'!$A$3:$A$302=$A103)*('Batches'!$G$3:$G$302=$C103)*('Batches'!$D$3:$D$302&gt;0)*('Batches'!$H$3:$H$302&gt;0))*100000,1))&gt;=100000,"",SUMPRODUCT(SMALL(('Batches'!$A$3:$A$302=$A103)*('Batches'!$G$3:$G$302=$C103)*('Batches'!$D$3:$D$302&gt;0)*('Batches'!$H$3:$H$302&gt;0)*'Batches'!$D$3:$D$302+(1-('Batches'!$A$3:$A$302=$A103)*('Batches'!$G$3:$G$302=$C103)*('Batches'!$D$3:$D$302&gt;0)*('Batches'!$H$3:$H$302&gt;0))*100000,1))))</f>
        <v/>
      </c>
      <c r="J103" s="16">
        <f>IF($A103="","",SUMIFS('Batches'!$H$3:$H$302,'Batches'!$A$3:$A$302,$A103,'Batches'!$G$3:$G$302,$C103,'Batches'!$D$3:$D$302,"&gt;0",'Batches'!$D$3:$D$302,"&lt;="&amp;('Settings'!$B$6+'Settings'!$B$7)))</f>
        <v/>
      </c>
      <c r="K103" s="19">
        <f>IF($A103="","",'Items'!$F103)</f>
        <v/>
      </c>
      <c r="L103" s="19">
        <f>IF($A103="","",$F103*$K103)</f>
        <v/>
      </c>
      <c r="M103" s="16">
        <f>IF($A103="","",IF(AND($H103="Below minimum",OR('Order list'!$B$4="",$D103='Order list'!$B$4)),IFERROR(MATCH($D103,Suppliers,0),99)*10000+ROW(),""))</f>
        <v/>
      </c>
    </row>
    <row r="104">
      <c r="A104" s="8">
        <f>IF('Items'!$A104="","",'Items'!$A104)</f>
        <v/>
      </c>
      <c r="B104" s="8">
        <f>IF($A104="","",'Items'!$B104)</f>
        <v/>
      </c>
      <c r="C104" s="8">
        <f>IF($A104="","",'Items'!$K104)</f>
        <v/>
      </c>
      <c r="D104" s="8">
        <f>IF($A104="","",'Items'!$E104)</f>
        <v/>
      </c>
      <c r="E104" s="8">
        <f>IF($A104="","",'Items'!$D104)</f>
        <v/>
      </c>
      <c r="F104" s="16">
        <f>IF($A104="","",SUMIFS('Batches'!$E$3:$E$302,'Batches'!$A$3:$A$302,$A104,'Batches'!$G$3:$G$302,$C104)+SUMIFS('Movements'!$F$3:$F$1002,'Movements'!$B$3:$B$1002,$A104,'Movements'!$E$3:$E$1002,"In",'Movements'!$H$3:$H$1002,$C104)-SUMIFS('Movements'!$F$3:$F$1002,'Movements'!$B$3:$B$1002,$A104,'Movements'!$E$3:$E$1002,"Out",'Movements'!$G$3:$G$1002,$C104)-SUMIFS('Movements'!$F$3:$F$1002,'Movements'!$B$3:$B$1002,$A104,'Movements'!$E$3:$E$1002,"Waste",'Movements'!$G$3:$G$1002,$C104)+SUMIFS('Movements'!$F$3:$F$1002,'Movements'!$B$3:$B$1002,$A104,'Movements'!$E$3:$E$1002,"Transfer",'Movements'!$H$3:$H$1002,$C104)-SUMIFS('Movements'!$F$3:$F$1002,'Movements'!$B$3:$B$1002,$A104,'Movements'!$E$3:$E$1002,"Transfer",'Movements'!$G$3:$G$1002,$C104))</f>
        <v/>
      </c>
      <c r="G104" s="15">
        <f>IF($A104="","",'Items'!$I104)</f>
        <v/>
      </c>
      <c r="H104" s="8">
        <f>IF(OR($A104="",$G104=""),"",IF($F104&lt;$G104,"Below minimum","OK"))</f>
        <v/>
      </c>
      <c r="I104" s="18">
        <f>IF($A104="","",IF(SUMPRODUCT(SMALL(('Batches'!$A$3:$A$302=$A104)*('Batches'!$G$3:$G$302=$C104)*('Batches'!$D$3:$D$302&gt;0)*('Batches'!$H$3:$H$302&gt;0)*'Batches'!$D$3:$D$302+(1-('Batches'!$A$3:$A$302=$A104)*('Batches'!$G$3:$G$302=$C104)*('Batches'!$D$3:$D$302&gt;0)*('Batches'!$H$3:$H$302&gt;0))*100000,1))&gt;=100000,"",SUMPRODUCT(SMALL(('Batches'!$A$3:$A$302=$A104)*('Batches'!$G$3:$G$302=$C104)*('Batches'!$D$3:$D$302&gt;0)*('Batches'!$H$3:$H$302&gt;0)*'Batches'!$D$3:$D$302+(1-('Batches'!$A$3:$A$302=$A104)*('Batches'!$G$3:$G$302=$C104)*('Batches'!$D$3:$D$302&gt;0)*('Batches'!$H$3:$H$302&gt;0))*100000,1))))</f>
        <v/>
      </c>
      <c r="J104" s="16">
        <f>IF($A104="","",SUMIFS('Batches'!$H$3:$H$302,'Batches'!$A$3:$A$302,$A104,'Batches'!$G$3:$G$302,$C104,'Batches'!$D$3:$D$302,"&gt;0",'Batches'!$D$3:$D$302,"&lt;="&amp;('Settings'!$B$6+'Settings'!$B$7)))</f>
        <v/>
      </c>
      <c r="K104" s="19">
        <f>IF($A104="","",'Items'!$F104)</f>
        <v/>
      </c>
      <c r="L104" s="19">
        <f>IF($A104="","",$F104*$K104)</f>
        <v/>
      </c>
      <c r="M104" s="16">
        <f>IF($A104="","",IF(AND($H104="Below minimum",OR('Order list'!$B$4="",$D104='Order list'!$B$4)),IFERROR(MATCH($D104,Suppliers,0),99)*10000+ROW(),""))</f>
        <v/>
      </c>
    </row>
    <row r="105">
      <c r="A105" s="8">
        <f>IF('Items'!$A105="","",'Items'!$A105)</f>
        <v/>
      </c>
      <c r="B105" s="8">
        <f>IF($A105="","",'Items'!$B105)</f>
        <v/>
      </c>
      <c r="C105" s="8">
        <f>IF($A105="","",'Items'!$K105)</f>
        <v/>
      </c>
      <c r="D105" s="8">
        <f>IF($A105="","",'Items'!$E105)</f>
        <v/>
      </c>
      <c r="E105" s="8">
        <f>IF($A105="","",'Items'!$D105)</f>
        <v/>
      </c>
      <c r="F105" s="16">
        <f>IF($A105="","",SUMIFS('Batches'!$E$3:$E$302,'Batches'!$A$3:$A$302,$A105,'Batches'!$G$3:$G$302,$C105)+SUMIFS('Movements'!$F$3:$F$1002,'Movements'!$B$3:$B$1002,$A105,'Movements'!$E$3:$E$1002,"In",'Movements'!$H$3:$H$1002,$C105)-SUMIFS('Movements'!$F$3:$F$1002,'Movements'!$B$3:$B$1002,$A105,'Movements'!$E$3:$E$1002,"Out",'Movements'!$G$3:$G$1002,$C105)-SUMIFS('Movements'!$F$3:$F$1002,'Movements'!$B$3:$B$1002,$A105,'Movements'!$E$3:$E$1002,"Waste",'Movements'!$G$3:$G$1002,$C105)+SUMIFS('Movements'!$F$3:$F$1002,'Movements'!$B$3:$B$1002,$A105,'Movements'!$E$3:$E$1002,"Transfer",'Movements'!$H$3:$H$1002,$C105)-SUMIFS('Movements'!$F$3:$F$1002,'Movements'!$B$3:$B$1002,$A105,'Movements'!$E$3:$E$1002,"Transfer",'Movements'!$G$3:$G$1002,$C105))</f>
        <v/>
      </c>
      <c r="G105" s="15">
        <f>IF($A105="","",'Items'!$I105)</f>
        <v/>
      </c>
      <c r="H105" s="8">
        <f>IF(OR($A105="",$G105=""),"",IF($F105&lt;$G105,"Below minimum","OK"))</f>
        <v/>
      </c>
      <c r="I105" s="18">
        <f>IF($A105="","",IF(SUMPRODUCT(SMALL(('Batches'!$A$3:$A$302=$A105)*('Batches'!$G$3:$G$302=$C105)*('Batches'!$D$3:$D$302&gt;0)*('Batches'!$H$3:$H$302&gt;0)*'Batches'!$D$3:$D$302+(1-('Batches'!$A$3:$A$302=$A105)*('Batches'!$G$3:$G$302=$C105)*('Batches'!$D$3:$D$302&gt;0)*('Batches'!$H$3:$H$302&gt;0))*100000,1))&gt;=100000,"",SUMPRODUCT(SMALL(('Batches'!$A$3:$A$302=$A105)*('Batches'!$G$3:$G$302=$C105)*('Batches'!$D$3:$D$302&gt;0)*('Batches'!$H$3:$H$302&gt;0)*'Batches'!$D$3:$D$302+(1-('Batches'!$A$3:$A$302=$A105)*('Batches'!$G$3:$G$302=$C105)*('Batches'!$D$3:$D$302&gt;0)*('Batches'!$H$3:$H$302&gt;0))*100000,1))))</f>
        <v/>
      </c>
      <c r="J105" s="16">
        <f>IF($A105="","",SUMIFS('Batches'!$H$3:$H$302,'Batches'!$A$3:$A$302,$A105,'Batches'!$G$3:$G$302,$C105,'Batches'!$D$3:$D$302,"&gt;0",'Batches'!$D$3:$D$302,"&lt;="&amp;('Settings'!$B$6+'Settings'!$B$7)))</f>
        <v/>
      </c>
      <c r="K105" s="19">
        <f>IF($A105="","",'Items'!$F105)</f>
        <v/>
      </c>
      <c r="L105" s="19">
        <f>IF($A105="","",$F105*$K105)</f>
        <v/>
      </c>
      <c r="M105" s="16">
        <f>IF($A105="","",IF(AND($H105="Below minimum",OR('Order list'!$B$4="",$D105='Order list'!$B$4)),IFERROR(MATCH($D105,Suppliers,0),99)*10000+ROW(),""))</f>
        <v/>
      </c>
    </row>
    <row r="106">
      <c r="A106" s="8">
        <f>IF('Items'!$A106="","",'Items'!$A106)</f>
        <v/>
      </c>
      <c r="B106" s="8">
        <f>IF($A106="","",'Items'!$B106)</f>
        <v/>
      </c>
      <c r="C106" s="8">
        <f>IF($A106="","",'Items'!$K106)</f>
        <v/>
      </c>
      <c r="D106" s="8">
        <f>IF($A106="","",'Items'!$E106)</f>
        <v/>
      </c>
      <c r="E106" s="8">
        <f>IF($A106="","",'Items'!$D106)</f>
        <v/>
      </c>
      <c r="F106" s="16">
        <f>IF($A106="","",SUMIFS('Batches'!$E$3:$E$302,'Batches'!$A$3:$A$302,$A106,'Batches'!$G$3:$G$302,$C106)+SUMIFS('Movements'!$F$3:$F$1002,'Movements'!$B$3:$B$1002,$A106,'Movements'!$E$3:$E$1002,"In",'Movements'!$H$3:$H$1002,$C106)-SUMIFS('Movements'!$F$3:$F$1002,'Movements'!$B$3:$B$1002,$A106,'Movements'!$E$3:$E$1002,"Out",'Movements'!$G$3:$G$1002,$C106)-SUMIFS('Movements'!$F$3:$F$1002,'Movements'!$B$3:$B$1002,$A106,'Movements'!$E$3:$E$1002,"Waste",'Movements'!$G$3:$G$1002,$C106)+SUMIFS('Movements'!$F$3:$F$1002,'Movements'!$B$3:$B$1002,$A106,'Movements'!$E$3:$E$1002,"Transfer",'Movements'!$H$3:$H$1002,$C106)-SUMIFS('Movements'!$F$3:$F$1002,'Movements'!$B$3:$B$1002,$A106,'Movements'!$E$3:$E$1002,"Transfer",'Movements'!$G$3:$G$1002,$C106))</f>
        <v/>
      </c>
      <c r="G106" s="15">
        <f>IF($A106="","",'Items'!$I106)</f>
        <v/>
      </c>
      <c r="H106" s="8">
        <f>IF(OR($A106="",$G106=""),"",IF($F106&lt;$G106,"Below minimum","OK"))</f>
        <v/>
      </c>
      <c r="I106" s="18">
        <f>IF($A106="","",IF(SUMPRODUCT(SMALL(('Batches'!$A$3:$A$302=$A106)*('Batches'!$G$3:$G$302=$C106)*('Batches'!$D$3:$D$302&gt;0)*('Batches'!$H$3:$H$302&gt;0)*'Batches'!$D$3:$D$302+(1-('Batches'!$A$3:$A$302=$A106)*('Batches'!$G$3:$G$302=$C106)*('Batches'!$D$3:$D$302&gt;0)*('Batches'!$H$3:$H$302&gt;0))*100000,1))&gt;=100000,"",SUMPRODUCT(SMALL(('Batches'!$A$3:$A$302=$A106)*('Batches'!$G$3:$G$302=$C106)*('Batches'!$D$3:$D$302&gt;0)*('Batches'!$H$3:$H$302&gt;0)*'Batches'!$D$3:$D$302+(1-('Batches'!$A$3:$A$302=$A106)*('Batches'!$G$3:$G$302=$C106)*('Batches'!$D$3:$D$302&gt;0)*('Batches'!$H$3:$H$302&gt;0))*100000,1))))</f>
        <v/>
      </c>
      <c r="J106" s="16">
        <f>IF($A106="","",SUMIFS('Batches'!$H$3:$H$302,'Batches'!$A$3:$A$302,$A106,'Batches'!$G$3:$G$302,$C106,'Batches'!$D$3:$D$302,"&gt;0",'Batches'!$D$3:$D$302,"&lt;="&amp;('Settings'!$B$6+'Settings'!$B$7)))</f>
        <v/>
      </c>
      <c r="K106" s="19">
        <f>IF($A106="","",'Items'!$F106)</f>
        <v/>
      </c>
      <c r="L106" s="19">
        <f>IF($A106="","",$F106*$K106)</f>
        <v/>
      </c>
      <c r="M106" s="16">
        <f>IF($A106="","",IF(AND($H106="Below minimum",OR('Order list'!$B$4="",$D106='Order list'!$B$4)),IFERROR(MATCH($D106,Suppliers,0),99)*10000+ROW(),""))</f>
        <v/>
      </c>
    </row>
    <row r="107">
      <c r="A107" s="8">
        <f>IF('Items'!$A107="","",'Items'!$A107)</f>
        <v/>
      </c>
      <c r="B107" s="8">
        <f>IF($A107="","",'Items'!$B107)</f>
        <v/>
      </c>
      <c r="C107" s="8">
        <f>IF($A107="","",'Items'!$K107)</f>
        <v/>
      </c>
      <c r="D107" s="8">
        <f>IF($A107="","",'Items'!$E107)</f>
        <v/>
      </c>
      <c r="E107" s="8">
        <f>IF($A107="","",'Items'!$D107)</f>
        <v/>
      </c>
      <c r="F107" s="16">
        <f>IF($A107="","",SUMIFS('Batches'!$E$3:$E$302,'Batches'!$A$3:$A$302,$A107,'Batches'!$G$3:$G$302,$C107)+SUMIFS('Movements'!$F$3:$F$1002,'Movements'!$B$3:$B$1002,$A107,'Movements'!$E$3:$E$1002,"In",'Movements'!$H$3:$H$1002,$C107)-SUMIFS('Movements'!$F$3:$F$1002,'Movements'!$B$3:$B$1002,$A107,'Movements'!$E$3:$E$1002,"Out",'Movements'!$G$3:$G$1002,$C107)-SUMIFS('Movements'!$F$3:$F$1002,'Movements'!$B$3:$B$1002,$A107,'Movements'!$E$3:$E$1002,"Waste",'Movements'!$G$3:$G$1002,$C107)+SUMIFS('Movements'!$F$3:$F$1002,'Movements'!$B$3:$B$1002,$A107,'Movements'!$E$3:$E$1002,"Transfer",'Movements'!$H$3:$H$1002,$C107)-SUMIFS('Movements'!$F$3:$F$1002,'Movements'!$B$3:$B$1002,$A107,'Movements'!$E$3:$E$1002,"Transfer",'Movements'!$G$3:$G$1002,$C107))</f>
        <v/>
      </c>
      <c r="G107" s="15">
        <f>IF($A107="","",'Items'!$I107)</f>
        <v/>
      </c>
      <c r="H107" s="8">
        <f>IF(OR($A107="",$G107=""),"",IF($F107&lt;$G107,"Below minimum","OK"))</f>
        <v/>
      </c>
      <c r="I107" s="18">
        <f>IF($A107="","",IF(SUMPRODUCT(SMALL(('Batches'!$A$3:$A$302=$A107)*('Batches'!$G$3:$G$302=$C107)*('Batches'!$D$3:$D$302&gt;0)*('Batches'!$H$3:$H$302&gt;0)*'Batches'!$D$3:$D$302+(1-('Batches'!$A$3:$A$302=$A107)*('Batches'!$G$3:$G$302=$C107)*('Batches'!$D$3:$D$302&gt;0)*('Batches'!$H$3:$H$302&gt;0))*100000,1))&gt;=100000,"",SUMPRODUCT(SMALL(('Batches'!$A$3:$A$302=$A107)*('Batches'!$G$3:$G$302=$C107)*('Batches'!$D$3:$D$302&gt;0)*('Batches'!$H$3:$H$302&gt;0)*'Batches'!$D$3:$D$302+(1-('Batches'!$A$3:$A$302=$A107)*('Batches'!$G$3:$G$302=$C107)*('Batches'!$D$3:$D$302&gt;0)*('Batches'!$H$3:$H$302&gt;0))*100000,1))))</f>
        <v/>
      </c>
      <c r="J107" s="16">
        <f>IF($A107="","",SUMIFS('Batches'!$H$3:$H$302,'Batches'!$A$3:$A$302,$A107,'Batches'!$G$3:$G$302,$C107,'Batches'!$D$3:$D$302,"&gt;0",'Batches'!$D$3:$D$302,"&lt;="&amp;('Settings'!$B$6+'Settings'!$B$7)))</f>
        <v/>
      </c>
      <c r="K107" s="19">
        <f>IF($A107="","",'Items'!$F107)</f>
        <v/>
      </c>
      <c r="L107" s="19">
        <f>IF($A107="","",$F107*$K107)</f>
        <v/>
      </c>
      <c r="M107" s="16">
        <f>IF($A107="","",IF(AND($H107="Below minimum",OR('Order list'!$B$4="",$D107='Order list'!$B$4)),IFERROR(MATCH($D107,Suppliers,0),99)*10000+ROW(),""))</f>
        <v/>
      </c>
    </row>
    <row r="108">
      <c r="A108" s="8">
        <f>IF('Items'!$A108="","",'Items'!$A108)</f>
        <v/>
      </c>
      <c r="B108" s="8">
        <f>IF($A108="","",'Items'!$B108)</f>
        <v/>
      </c>
      <c r="C108" s="8">
        <f>IF($A108="","",'Items'!$K108)</f>
        <v/>
      </c>
      <c r="D108" s="8">
        <f>IF($A108="","",'Items'!$E108)</f>
        <v/>
      </c>
      <c r="E108" s="8">
        <f>IF($A108="","",'Items'!$D108)</f>
        <v/>
      </c>
      <c r="F108" s="16">
        <f>IF($A108="","",SUMIFS('Batches'!$E$3:$E$302,'Batches'!$A$3:$A$302,$A108,'Batches'!$G$3:$G$302,$C108)+SUMIFS('Movements'!$F$3:$F$1002,'Movements'!$B$3:$B$1002,$A108,'Movements'!$E$3:$E$1002,"In",'Movements'!$H$3:$H$1002,$C108)-SUMIFS('Movements'!$F$3:$F$1002,'Movements'!$B$3:$B$1002,$A108,'Movements'!$E$3:$E$1002,"Out",'Movements'!$G$3:$G$1002,$C108)-SUMIFS('Movements'!$F$3:$F$1002,'Movements'!$B$3:$B$1002,$A108,'Movements'!$E$3:$E$1002,"Waste",'Movements'!$G$3:$G$1002,$C108)+SUMIFS('Movements'!$F$3:$F$1002,'Movements'!$B$3:$B$1002,$A108,'Movements'!$E$3:$E$1002,"Transfer",'Movements'!$H$3:$H$1002,$C108)-SUMIFS('Movements'!$F$3:$F$1002,'Movements'!$B$3:$B$1002,$A108,'Movements'!$E$3:$E$1002,"Transfer",'Movements'!$G$3:$G$1002,$C108))</f>
        <v/>
      </c>
      <c r="G108" s="15">
        <f>IF($A108="","",'Items'!$I108)</f>
        <v/>
      </c>
      <c r="H108" s="8">
        <f>IF(OR($A108="",$G108=""),"",IF($F108&lt;$G108,"Below minimum","OK"))</f>
        <v/>
      </c>
      <c r="I108" s="18">
        <f>IF($A108="","",IF(SUMPRODUCT(SMALL(('Batches'!$A$3:$A$302=$A108)*('Batches'!$G$3:$G$302=$C108)*('Batches'!$D$3:$D$302&gt;0)*('Batches'!$H$3:$H$302&gt;0)*'Batches'!$D$3:$D$302+(1-('Batches'!$A$3:$A$302=$A108)*('Batches'!$G$3:$G$302=$C108)*('Batches'!$D$3:$D$302&gt;0)*('Batches'!$H$3:$H$302&gt;0))*100000,1))&gt;=100000,"",SUMPRODUCT(SMALL(('Batches'!$A$3:$A$302=$A108)*('Batches'!$G$3:$G$302=$C108)*('Batches'!$D$3:$D$302&gt;0)*('Batches'!$H$3:$H$302&gt;0)*'Batches'!$D$3:$D$302+(1-('Batches'!$A$3:$A$302=$A108)*('Batches'!$G$3:$G$302=$C108)*('Batches'!$D$3:$D$302&gt;0)*('Batches'!$H$3:$H$302&gt;0))*100000,1))))</f>
        <v/>
      </c>
      <c r="J108" s="16">
        <f>IF($A108="","",SUMIFS('Batches'!$H$3:$H$302,'Batches'!$A$3:$A$302,$A108,'Batches'!$G$3:$G$302,$C108,'Batches'!$D$3:$D$302,"&gt;0",'Batches'!$D$3:$D$302,"&lt;="&amp;('Settings'!$B$6+'Settings'!$B$7)))</f>
        <v/>
      </c>
      <c r="K108" s="19">
        <f>IF($A108="","",'Items'!$F108)</f>
        <v/>
      </c>
      <c r="L108" s="19">
        <f>IF($A108="","",$F108*$K108)</f>
        <v/>
      </c>
      <c r="M108" s="16">
        <f>IF($A108="","",IF(AND($H108="Below minimum",OR('Order list'!$B$4="",$D108='Order list'!$B$4)),IFERROR(MATCH($D108,Suppliers,0),99)*10000+ROW(),""))</f>
        <v/>
      </c>
    </row>
    <row r="109">
      <c r="A109" s="8">
        <f>IF('Items'!$A109="","",'Items'!$A109)</f>
        <v/>
      </c>
      <c r="B109" s="8">
        <f>IF($A109="","",'Items'!$B109)</f>
        <v/>
      </c>
      <c r="C109" s="8">
        <f>IF($A109="","",'Items'!$K109)</f>
        <v/>
      </c>
      <c r="D109" s="8">
        <f>IF($A109="","",'Items'!$E109)</f>
        <v/>
      </c>
      <c r="E109" s="8">
        <f>IF($A109="","",'Items'!$D109)</f>
        <v/>
      </c>
      <c r="F109" s="16">
        <f>IF($A109="","",SUMIFS('Batches'!$E$3:$E$302,'Batches'!$A$3:$A$302,$A109,'Batches'!$G$3:$G$302,$C109)+SUMIFS('Movements'!$F$3:$F$1002,'Movements'!$B$3:$B$1002,$A109,'Movements'!$E$3:$E$1002,"In",'Movements'!$H$3:$H$1002,$C109)-SUMIFS('Movements'!$F$3:$F$1002,'Movements'!$B$3:$B$1002,$A109,'Movements'!$E$3:$E$1002,"Out",'Movements'!$G$3:$G$1002,$C109)-SUMIFS('Movements'!$F$3:$F$1002,'Movements'!$B$3:$B$1002,$A109,'Movements'!$E$3:$E$1002,"Waste",'Movements'!$G$3:$G$1002,$C109)+SUMIFS('Movements'!$F$3:$F$1002,'Movements'!$B$3:$B$1002,$A109,'Movements'!$E$3:$E$1002,"Transfer",'Movements'!$H$3:$H$1002,$C109)-SUMIFS('Movements'!$F$3:$F$1002,'Movements'!$B$3:$B$1002,$A109,'Movements'!$E$3:$E$1002,"Transfer",'Movements'!$G$3:$G$1002,$C109))</f>
        <v/>
      </c>
      <c r="G109" s="15">
        <f>IF($A109="","",'Items'!$I109)</f>
        <v/>
      </c>
      <c r="H109" s="8">
        <f>IF(OR($A109="",$G109=""),"",IF($F109&lt;$G109,"Below minimum","OK"))</f>
        <v/>
      </c>
      <c r="I109" s="18">
        <f>IF($A109="","",IF(SUMPRODUCT(SMALL(('Batches'!$A$3:$A$302=$A109)*('Batches'!$G$3:$G$302=$C109)*('Batches'!$D$3:$D$302&gt;0)*('Batches'!$H$3:$H$302&gt;0)*'Batches'!$D$3:$D$302+(1-('Batches'!$A$3:$A$302=$A109)*('Batches'!$G$3:$G$302=$C109)*('Batches'!$D$3:$D$302&gt;0)*('Batches'!$H$3:$H$302&gt;0))*100000,1))&gt;=100000,"",SUMPRODUCT(SMALL(('Batches'!$A$3:$A$302=$A109)*('Batches'!$G$3:$G$302=$C109)*('Batches'!$D$3:$D$302&gt;0)*('Batches'!$H$3:$H$302&gt;0)*'Batches'!$D$3:$D$302+(1-('Batches'!$A$3:$A$302=$A109)*('Batches'!$G$3:$G$302=$C109)*('Batches'!$D$3:$D$302&gt;0)*('Batches'!$H$3:$H$302&gt;0))*100000,1))))</f>
        <v/>
      </c>
      <c r="J109" s="16">
        <f>IF($A109="","",SUMIFS('Batches'!$H$3:$H$302,'Batches'!$A$3:$A$302,$A109,'Batches'!$G$3:$G$302,$C109,'Batches'!$D$3:$D$302,"&gt;0",'Batches'!$D$3:$D$302,"&lt;="&amp;('Settings'!$B$6+'Settings'!$B$7)))</f>
        <v/>
      </c>
      <c r="K109" s="19">
        <f>IF($A109="","",'Items'!$F109)</f>
        <v/>
      </c>
      <c r="L109" s="19">
        <f>IF($A109="","",$F109*$K109)</f>
        <v/>
      </c>
      <c r="M109" s="16">
        <f>IF($A109="","",IF(AND($H109="Below minimum",OR('Order list'!$B$4="",$D109='Order list'!$B$4)),IFERROR(MATCH($D109,Suppliers,0),99)*10000+ROW(),""))</f>
        <v/>
      </c>
    </row>
    <row r="110">
      <c r="A110" s="8">
        <f>IF('Items'!$A110="","",'Items'!$A110)</f>
        <v/>
      </c>
      <c r="B110" s="8">
        <f>IF($A110="","",'Items'!$B110)</f>
        <v/>
      </c>
      <c r="C110" s="8">
        <f>IF($A110="","",'Items'!$K110)</f>
        <v/>
      </c>
      <c r="D110" s="8">
        <f>IF($A110="","",'Items'!$E110)</f>
        <v/>
      </c>
      <c r="E110" s="8">
        <f>IF($A110="","",'Items'!$D110)</f>
        <v/>
      </c>
      <c r="F110" s="16">
        <f>IF($A110="","",SUMIFS('Batches'!$E$3:$E$302,'Batches'!$A$3:$A$302,$A110,'Batches'!$G$3:$G$302,$C110)+SUMIFS('Movements'!$F$3:$F$1002,'Movements'!$B$3:$B$1002,$A110,'Movements'!$E$3:$E$1002,"In",'Movements'!$H$3:$H$1002,$C110)-SUMIFS('Movements'!$F$3:$F$1002,'Movements'!$B$3:$B$1002,$A110,'Movements'!$E$3:$E$1002,"Out",'Movements'!$G$3:$G$1002,$C110)-SUMIFS('Movements'!$F$3:$F$1002,'Movements'!$B$3:$B$1002,$A110,'Movements'!$E$3:$E$1002,"Waste",'Movements'!$G$3:$G$1002,$C110)+SUMIFS('Movements'!$F$3:$F$1002,'Movements'!$B$3:$B$1002,$A110,'Movements'!$E$3:$E$1002,"Transfer",'Movements'!$H$3:$H$1002,$C110)-SUMIFS('Movements'!$F$3:$F$1002,'Movements'!$B$3:$B$1002,$A110,'Movements'!$E$3:$E$1002,"Transfer",'Movements'!$G$3:$G$1002,$C110))</f>
        <v/>
      </c>
      <c r="G110" s="15">
        <f>IF($A110="","",'Items'!$I110)</f>
        <v/>
      </c>
      <c r="H110" s="8">
        <f>IF(OR($A110="",$G110=""),"",IF($F110&lt;$G110,"Below minimum","OK"))</f>
        <v/>
      </c>
      <c r="I110" s="18">
        <f>IF($A110="","",IF(SUMPRODUCT(SMALL(('Batches'!$A$3:$A$302=$A110)*('Batches'!$G$3:$G$302=$C110)*('Batches'!$D$3:$D$302&gt;0)*('Batches'!$H$3:$H$302&gt;0)*'Batches'!$D$3:$D$302+(1-('Batches'!$A$3:$A$302=$A110)*('Batches'!$G$3:$G$302=$C110)*('Batches'!$D$3:$D$302&gt;0)*('Batches'!$H$3:$H$302&gt;0))*100000,1))&gt;=100000,"",SUMPRODUCT(SMALL(('Batches'!$A$3:$A$302=$A110)*('Batches'!$G$3:$G$302=$C110)*('Batches'!$D$3:$D$302&gt;0)*('Batches'!$H$3:$H$302&gt;0)*'Batches'!$D$3:$D$302+(1-('Batches'!$A$3:$A$302=$A110)*('Batches'!$G$3:$G$302=$C110)*('Batches'!$D$3:$D$302&gt;0)*('Batches'!$H$3:$H$302&gt;0))*100000,1))))</f>
        <v/>
      </c>
      <c r="J110" s="16">
        <f>IF($A110="","",SUMIFS('Batches'!$H$3:$H$302,'Batches'!$A$3:$A$302,$A110,'Batches'!$G$3:$G$302,$C110,'Batches'!$D$3:$D$302,"&gt;0",'Batches'!$D$3:$D$302,"&lt;="&amp;('Settings'!$B$6+'Settings'!$B$7)))</f>
        <v/>
      </c>
      <c r="K110" s="19">
        <f>IF($A110="","",'Items'!$F110)</f>
        <v/>
      </c>
      <c r="L110" s="19">
        <f>IF($A110="","",$F110*$K110)</f>
        <v/>
      </c>
      <c r="M110" s="16">
        <f>IF($A110="","",IF(AND($H110="Below minimum",OR('Order list'!$B$4="",$D110='Order list'!$B$4)),IFERROR(MATCH($D110,Suppliers,0),99)*10000+ROW(),""))</f>
        <v/>
      </c>
    </row>
    <row r="111">
      <c r="A111" s="8">
        <f>IF('Items'!$A111="","",'Items'!$A111)</f>
        <v/>
      </c>
      <c r="B111" s="8">
        <f>IF($A111="","",'Items'!$B111)</f>
        <v/>
      </c>
      <c r="C111" s="8">
        <f>IF($A111="","",'Items'!$K111)</f>
        <v/>
      </c>
      <c r="D111" s="8">
        <f>IF($A111="","",'Items'!$E111)</f>
        <v/>
      </c>
      <c r="E111" s="8">
        <f>IF($A111="","",'Items'!$D111)</f>
        <v/>
      </c>
      <c r="F111" s="16">
        <f>IF($A111="","",SUMIFS('Batches'!$E$3:$E$302,'Batches'!$A$3:$A$302,$A111,'Batches'!$G$3:$G$302,$C111)+SUMIFS('Movements'!$F$3:$F$1002,'Movements'!$B$3:$B$1002,$A111,'Movements'!$E$3:$E$1002,"In",'Movements'!$H$3:$H$1002,$C111)-SUMIFS('Movements'!$F$3:$F$1002,'Movements'!$B$3:$B$1002,$A111,'Movements'!$E$3:$E$1002,"Out",'Movements'!$G$3:$G$1002,$C111)-SUMIFS('Movements'!$F$3:$F$1002,'Movements'!$B$3:$B$1002,$A111,'Movements'!$E$3:$E$1002,"Waste",'Movements'!$G$3:$G$1002,$C111)+SUMIFS('Movements'!$F$3:$F$1002,'Movements'!$B$3:$B$1002,$A111,'Movements'!$E$3:$E$1002,"Transfer",'Movements'!$H$3:$H$1002,$C111)-SUMIFS('Movements'!$F$3:$F$1002,'Movements'!$B$3:$B$1002,$A111,'Movements'!$E$3:$E$1002,"Transfer",'Movements'!$G$3:$G$1002,$C111))</f>
        <v/>
      </c>
      <c r="G111" s="15">
        <f>IF($A111="","",'Items'!$I111)</f>
        <v/>
      </c>
      <c r="H111" s="8">
        <f>IF(OR($A111="",$G111=""),"",IF($F111&lt;$G111,"Below minimum","OK"))</f>
        <v/>
      </c>
      <c r="I111" s="18">
        <f>IF($A111="","",IF(SUMPRODUCT(SMALL(('Batches'!$A$3:$A$302=$A111)*('Batches'!$G$3:$G$302=$C111)*('Batches'!$D$3:$D$302&gt;0)*('Batches'!$H$3:$H$302&gt;0)*'Batches'!$D$3:$D$302+(1-('Batches'!$A$3:$A$302=$A111)*('Batches'!$G$3:$G$302=$C111)*('Batches'!$D$3:$D$302&gt;0)*('Batches'!$H$3:$H$302&gt;0))*100000,1))&gt;=100000,"",SUMPRODUCT(SMALL(('Batches'!$A$3:$A$302=$A111)*('Batches'!$G$3:$G$302=$C111)*('Batches'!$D$3:$D$302&gt;0)*('Batches'!$H$3:$H$302&gt;0)*'Batches'!$D$3:$D$302+(1-('Batches'!$A$3:$A$302=$A111)*('Batches'!$G$3:$G$302=$C111)*('Batches'!$D$3:$D$302&gt;0)*('Batches'!$H$3:$H$302&gt;0))*100000,1))))</f>
        <v/>
      </c>
      <c r="J111" s="16">
        <f>IF($A111="","",SUMIFS('Batches'!$H$3:$H$302,'Batches'!$A$3:$A$302,$A111,'Batches'!$G$3:$G$302,$C111,'Batches'!$D$3:$D$302,"&gt;0",'Batches'!$D$3:$D$302,"&lt;="&amp;('Settings'!$B$6+'Settings'!$B$7)))</f>
        <v/>
      </c>
      <c r="K111" s="19">
        <f>IF($A111="","",'Items'!$F111)</f>
        <v/>
      </c>
      <c r="L111" s="19">
        <f>IF($A111="","",$F111*$K111)</f>
        <v/>
      </c>
      <c r="M111" s="16">
        <f>IF($A111="","",IF(AND($H111="Below minimum",OR('Order list'!$B$4="",$D111='Order list'!$B$4)),IFERROR(MATCH($D111,Suppliers,0),99)*10000+ROW(),""))</f>
        <v/>
      </c>
    </row>
    <row r="112">
      <c r="A112" s="8">
        <f>IF('Items'!$A112="","",'Items'!$A112)</f>
        <v/>
      </c>
      <c r="B112" s="8">
        <f>IF($A112="","",'Items'!$B112)</f>
        <v/>
      </c>
      <c r="C112" s="8">
        <f>IF($A112="","",'Items'!$K112)</f>
        <v/>
      </c>
      <c r="D112" s="8">
        <f>IF($A112="","",'Items'!$E112)</f>
        <v/>
      </c>
      <c r="E112" s="8">
        <f>IF($A112="","",'Items'!$D112)</f>
        <v/>
      </c>
      <c r="F112" s="16">
        <f>IF($A112="","",SUMIFS('Batches'!$E$3:$E$302,'Batches'!$A$3:$A$302,$A112,'Batches'!$G$3:$G$302,$C112)+SUMIFS('Movements'!$F$3:$F$1002,'Movements'!$B$3:$B$1002,$A112,'Movements'!$E$3:$E$1002,"In",'Movements'!$H$3:$H$1002,$C112)-SUMIFS('Movements'!$F$3:$F$1002,'Movements'!$B$3:$B$1002,$A112,'Movements'!$E$3:$E$1002,"Out",'Movements'!$G$3:$G$1002,$C112)-SUMIFS('Movements'!$F$3:$F$1002,'Movements'!$B$3:$B$1002,$A112,'Movements'!$E$3:$E$1002,"Waste",'Movements'!$G$3:$G$1002,$C112)+SUMIFS('Movements'!$F$3:$F$1002,'Movements'!$B$3:$B$1002,$A112,'Movements'!$E$3:$E$1002,"Transfer",'Movements'!$H$3:$H$1002,$C112)-SUMIFS('Movements'!$F$3:$F$1002,'Movements'!$B$3:$B$1002,$A112,'Movements'!$E$3:$E$1002,"Transfer",'Movements'!$G$3:$G$1002,$C112))</f>
        <v/>
      </c>
      <c r="G112" s="15">
        <f>IF($A112="","",'Items'!$I112)</f>
        <v/>
      </c>
      <c r="H112" s="8">
        <f>IF(OR($A112="",$G112=""),"",IF($F112&lt;$G112,"Below minimum","OK"))</f>
        <v/>
      </c>
      <c r="I112" s="18">
        <f>IF($A112="","",IF(SUMPRODUCT(SMALL(('Batches'!$A$3:$A$302=$A112)*('Batches'!$G$3:$G$302=$C112)*('Batches'!$D$3:$D$302&gt;0)*('Batches'!$H$3:$H$302&gt;0)*'Batches'!$D$3:$D$302+(1-('Batches'!$A$3:$A$302=$A112)*('Batches'!$G$3:$G$302=$C112)*('Batches'!$D$3:$D$302&gt;0)*('Batches'!$H$3:$H$302&gt;0))*100000,1))&gt;=100000,"",SUMPRODUCT(SMALL(('Batches'!$A$3:$A$302=$A112)*('Batches'!$G$3:$G$302=$C112)*('Batches'!$D$3:$D$302&gt;0)*('Batches'!$H$3:$H$302&gt;0)*'Batches'!$D$3:$D$302+(1-('Batches'!$A$3:$A$302=$A112)*('Batches'!$G$3:$G$302=$C112)*('Batches'!$D$3:$D$302&gt;0)*('Batches'!$H$3:$H$302&gt;0))*100000,1))))</f>
        <v/>
      </c>
      <c r="J112" s="16">
        <f>IF($A112="","",SUMIFS('Batches'!$H$3:$H$302,'Batches'!$A$3:$A$302,$A112,'Batches'!$G$3:$G$302,$C112,'Batches'!$D$3:$D$302,"&gt;0",'Batches'!$D$3:$D$302,"&lt;="&amp;('Settings'!$B$6+'Settings'!$B$7)))</f>
        <v/>
      </c>
      <c r="K112" s="19">
        <f>IF($A112="","",'Items'!$F112)</f>
        <v/>
      </c>
      <c r="L112" s="19">
        <f>IF($A112="","",$F112*$K112)</f>
        <v/>
      </c>
      <c r="M112" s="16">
        <f>IF($A112="","",IF(AND($H112="Below minimum",OR('Order list'!$B$4="",$D112='Order list'!$B$4)),IFERROR(MATCH($D112,Suppliers,0),99)*10000+ROW(),""))</f>
        <v/>
      </c>
    </row>
    <row r="113">
      <c r="A113" s="8">
        <f>IF('Items'!$A113="","",'Items'!$A113)</f>
        <v/>
      </c>
      <c r="B113" s="8">
        <f>IF($A113="","",'Items'!$B113)</f>
        <v/>
      </c>
      <c r="C113" s="8">
        <f>IF($A113="","",'Items'!$K113)</f>
        <v/>
      </c>
      <c r="D113" s="8">
        <f>IF($A113="","",'Items'!$E113)</f>
        <v/>
      </c>
      <c r="E113" s="8">
        <f>IF($A113="","",'Items'!$D113)</f>
        <v/>
      </c>
      <c r="F113" s="16">
        <f>IF($A113="","",SUMIFS('Batches'!$E$3:$E$302,'Batches'!$A$3:$A$302,$A113,'Batches'!$G$3:$G$302,$C113)+SUMIFS('Movements'!$F$3:$F$1002,'Movements'!$B$3:$B$1002,$A113,'Movements'!$E$3:$E$1002,"In",'Movements'!$H$3:$H$1002,$C113)-SUMIFS('Movements'!$F$3:$F$1002,'Movements'!$B$3:$B$1002,$A113,'Movements'!$E$3:$E$1002,"Out",'Movements'!$G$3:$G$1002,$C113)-SUMIFS('Movements'!$F$3:$F$1002,'Movements'!$B$3:$B$1002,$A113,'Movements'!$E$3:$E$1002,"Waste",'Movements'!$G$3:$G$1002,$C113)+SUMIFS('Movements'!$F$3:$F$1002,'Movements'!$B$3:$B$1002,$A113,'Movements'!$E$3:$E$1002,"Transfer",'Movements'!$H$3:$H$1002,$C113)-SUMIFS('Movements'!$F$3:$F$1002,'Movements'!$B$3:$B$1002,$A113,'Movements'!$E$3:$E$1002,"Transfer",'Movements'!$G$3:$G$1002,$C113))</f>
        <v/>
      </c>
      <c r="G113" s="15">
        <f>IF($A113="","",'Items'!$I113)</f>
        <v/>
      </c>
      <c r="H113" s="8">
        <f>IF(OR($A113="",$G113=""),"",IF($F113&lt;$G113,"Below minimum","OK"))</f>
        <v/>
      </c>
      <c r="I113" s="18">
        <f>IF($A113="","",IF(SUMPRODUCT(SMALL(('Batches'!$A$3:$A$302=$A113)*('Batches'!$G$3:$G$302=$C113)*('Batches'!$D$3:$D$302&gt;0)*('Batches'!$H$3:$H$302&gt;0)*'Batches'!$D$3:$D$302+(1-('Batches'!$A$3:$A$302=$A113)*('Batches'!$G$3:$G$302=$C113)*('Batches'!$D$3:$D$302&gt;0)*('Batches'!$H$3:$H$302&gt;0))*100000,1))&gt;=100000,"",SUMPRODUCT(SMALL(('Batches'!$A$3:$A$302=$A113)*('Batches'!$G$3:$G$302=$C113)*('Batches'!$D$3:$D$302&gt;0)*('Batches'!$H$3:$H$302&gt;0)*'Batches'!$D$3:$D$302+(1-('Batches'!$A$3:$A$302=$A113)*('Batches'!$G$3:$G$302=$C113)*('Batches'!$D$3:$D$302&gt;0)*('Batches'!$H$3:$H$302&gt;0))*100000,1))))</f>
        <v/>
      </c>
      <c r="J113" s="16">
        <f>IF($A113="","",SUMIFS('Batches'!$H$3:$H$302,'Batches'!$A$3:$A$302,$A113,'Batches'!$G$3:$G$302,$C113,'Batches'!$D$3:$D$302,"&gt;0",'Batches'!$D$3:$D$302,"&lt;="&amp;('Settings'!$B$6+'Settings'!$B$7)))</f>
        <v/>
      </c>
      <c r="K113" s="19">
        <f>IF($A113="","",'Items'!$F113)</f>
        <v/>
      </c>
      <c r="L113" s="19">
        <f>IF($A113="","",$F113*$K113)</f>
        <v/>
      </c>
      <c r="M113" s="16">
        <f>IF($A113="","",IF(AND($H113="Below minimum",OR('Order list'!$B$4="",$D113='Order list'!$B$4)),IFERROR(MATCH($D113,Suppliers,0),99)*10000+ROW(),""))</f>
        <v/>
      </c>
    </row>
    <row r="114">
      <c r="A114" s="8">
        <f>IF('Items'!$A114="","",'Items'!$A114)</f>
        <v/>
      </c>
      <c r="B114" s="8">
        <f>IF($A114="","",'Items'!$B114)</f>
        <v/>
      </c>
      <c r="C114" s="8">
        <f>IF($A114="","",'Items'!$K114)</f>
        <v/>
      </c>
      <c r="D114" s="8">
        <f>IF($A114="","",'Items'!$E114)</f>
        <v/>
      </c>
      <c r="E114" s="8">
        <f>IF($A114="","",'Items'!$D114)</f>
        <v/>
      </c>
      <c r="F114" s="16">
        <f>IF($A114="","",SUMIFS('Batches'!$E$3:$E$302,'Batches'!$A$3:$A$302,$A114,'Batches'!$G$3:$G$302,$C114)+SUMIFS('Movements'!$F$3:$F$1002,'Movements'!$B$3:$B$1002,$A114,'Movements'!$E$3:$E$1002,"In",'Movements'!$H$3:$H$1002,$C114)-SUMIFS('Movements'!$F$3:$F$1002,'Movements'!$B$3:$B$1002,$A114,'Movements'!$E$3:$E$1002,"Out",'Movements'!$G$3:$G$1002,$C114)-SUMIFS('Movements'!$F$3:$F$1002,'Movements'!$B$3:$B$1002,$A114,'Movements'!$E$3:$E$1002,"Waste",'Movements'!$G$3:$G$1002,$C114)+SUMIFS('Movements'!$F$3:$F$1002,'Movements'!$B$3:$B$1002,$A114,'Movements'!$E$3:$E$1002,"Transfer",'Movements'!$H$3:$H$1002,$C114)-SUMIFS('Movements'!$F$3:$F$1002,'Movements'!$B$3:$B$1002,$A114,'Movements'!$E$3:$E$1002,"Transfer",'Movements'!$G$3:$G$1002,$C114))</f>
        <v/>
      </c>
      <c r="G114" s="15">
        <f>IF($A114="","",'Items'!$I114)</f>
        <v/>
      </c>
      <c r="H114" s="8">
        <f>IF(OR($A114="",$G114=""),"",IF($F114&lt;$G114,"Below minimum","OK"))</f>
        <v/>
      </c>
      <c r="I114" s="18">
        <f>IF($A114="","",IF(SUMPRODUCT(SMALL(('Batches'!$A$3:$A$302=$A114)*('Batches'!$G$3:$G$302=$C114)*('Batches'!$D$3:$D$302&gt;0)*('Batches'!$H$3:$H$302&gt;0)*'Batches'!$D$3:$D$302+(1-('Batches'!$A$3:$A$302=$A114)*('Batches'!$G$3:$G$302=$C114)*('Batches'!$D$3:$D$302&gt;0)*('Batches'!$H$3:$H$302&gt;0))*100000,1))&gt;=100000,"",SUMPRODUCT(SMALL(('Batches'!$A$3:$A$302=$A114)*('Batches'!$G$3:$G$302=$C114)*('Batches'!$D$3:$D$302&gt;0)*('Batches'!$H$3:$H$302&gt;0)*'Batches'!$D$3:$D$302+(1-('Batches'!$A$3:$A$302=$A114)*('Batches'!$G$3:$G$302=$C114)*('Batches'!$D$3:$D$302&gt;0)*('Batches'!$H$3:$H$302&gt;0))*100000,1))))</f>
        <v/>
      </c>
      <c r="J114" s="16">
        <f>IF($A114="","",SUMIFS('Batches'!$H$3:$H$302,'Batches'!$A$3:$A$302,$A114,'Batches'!$G$3:$G$302,$C114,'Batches'!$D$3:$D$302,"&gt;0",'Batches'!$D$3:$D$302,"&lt;="&amp;('Settings'!$B$6+'Settings'!$B$7)))</f>
        <v/>
      </c>
      <c r="K114" s="19">
        <f>IF($A114="","",'Items'!$F114)</f>
        <v/>
      </c>
      <c r="L114" s="19">
        <f>IF($A114="","",$F114*$K114)</f>
        <v/>
      </c>
      <c r="M114" s="16">
        <f>IF($A114="","",IF(AND($H114="Below minimum",OR('Order list'!$B$4="",$D114='Order list'!$B$4)),IFERROR(MATCH($D114,Suppliers,0),99)*10000+ROW(),""))</f>
        <v/>
      </c>
    </row>
    <row r="115">
      <c r="A115" s="8">
        <f>IF('Items'!$A115="","",'Items'!$A115)</f>
        <v/>
      </c>
      <c r="B115" s="8">
        <f>IF($A115="","",'Items'!$B115)</f>
        <v/>
      </c>
      <c r="C115" s="8">
        <f>IF($A115="","",'Items'!$K115)</f>
        <v/>
      </c>
      <c r="D115" s="8">
        <f>IF($A115="","",'Items'!$E115)</f>
        <v/>
      </c>
      <c r="E115" s="8">
        <f>IF($A115="","",'Items'!$D115)</f>
        <v/>
      </c>
      <c r="F115" s="16">
        <f>IF($A115="","",SUMIFS('Batches'!$E$3:$E$302,'Batches'!$A$3:$A$302,$A115,'Batches'!$G$3:$G$302,$C115)+SUMIFS('Movements'!$F$3:$F$1002,'Movements'!$B$3:$B$1002,$A115,'Movements'!$E$3:$E$1002,"In",'Movements'!$H$3:$H$1002,$C115)-SUMIFS('Movements'!$F$3:$F$1002,'Movements'!$B$3:$B$1002,$A115,'Movements'!$E$3:$E$1002,"Out",'Movements'!$G$3:$G$1002,$C115)-SUMIFS('Movements'!$F$3:$F$1002,'Movements'!$B$3:$B$1002,$A115,'Movements'!$E$3:$E$1002,"Waste",'Movements'!$G$3:$G$1002,$C115)+SUMIFS('Movements'!$F$3:$F$1002,'Movements'!$B$3:$B$1002,$A115,'Movements'!$E$3:$E$1002,"Transfer",'Movements'!$H$3:$H$1002,$C115)-SUMIFS('Movements'!$F$3:$F$1002,'Movements'!$B$3:$B$1002,$A115,'Movements'!$E$3:$E$1002,"Transfer",'Movements'!$G$3:$G$1002,$C115))</f>
        <v/>
      </c>
      <c r="G115" s="15">
        <f>IF($A115="","",'Items'!$I115)</f>
        <v/>
      </c>
      <c r="H115" s="8">
        <f>IF(OR($A115="",$G115=""),"",IF($F115&lt;$G115,"Below minimum","OK"))</f>
        <v/>
      </c>
      <c r="I115" s="18">
        <f>IF($A115="","",IF(SUMPRODUCT(SMALL(('Batches'!$A$3:$A$302=$A115)*('Batches'!$G$3:$G$302=$C115)*('Batches'!$D$3:$D$302&gt;0)*('Batches'!$H$3:$H$302&gt;0)*'Batches'!$D$3:$D$302+(1-('Batches'!$A$3:$A$302=$A115)*('Batches'!$G$3:$G$302=$C115)*('Batches'!$D$3:$D$302&gt;0)*('Batches'!$H$3:$H$302&gt;0))*100000,1))&gt;=100000,"",SUMPRODUCT(SMALL(('Batches'!$A$3:$A$302=$A115)*('Batches'!$G$3:$G$302=$C115)*('Batches'!$D$3:$D$302&gt;0)*('Batches'!$H$3:$H$302&gt;0)*'Batches'!$D$3:$D$302+(1-('Batches'!$A$3:$A$302=$A115)*('Batches'!$G$3:$G$302=$C115)*('Batches'!$D$3:$D$302&gt;0)*('Batches'!$H$3:$H$302&gt;0))*100000,1))))</f>
        <v/>
      </c>
      <c r="J115" s="16">
        <f>IF($A115="","",SUMIFS('Batches'!$H$3:$H$302,'Batches'!$A$3:$A$302,$A115,'Batches'!$G$3:$G$302,$C115,'Batches'!$D$3:$D$302,"&gt;0",'Batches'!$D$3:$D$302,"&lt;="&amp;('Settings'!$B$6+'Settings'!$B$7)))</f>
        <v/>
      </c>
      <c r="K115" s="19">
        <f>IF($A115="","",'Items'!$F115)</f>
        <v/>
      </c>
      <c r="L115" s="19">
        <f>IF($A115="","",$F115*$K115)</f>
        <v/>
      </c>
      <c r="M115" s="16">
        <f>IF($A115="","",IF(AND($H115="Below minimum",OR('Order list'!$B$4="",$D115='Order list'!$B$4)),IFERROR(MATCH($D115,Suppliers,0),99)*10000+ROW(),""))</f>
        <v/>
      </c>
    </row>
    <row r="116">
      <c r="A116" s="8">
        <f>IF('Items'!$A116="","",'Items'!$A116)</f>
        <v/>
      </c>
      <c r="B116" s="8">
        <f>IF($A116="","",'Items'!$B116)</f>
        <v/>
      </c>
      <c r="C116" s="8">
        <f>IF($A116="","",'Items'!$K116)</f>
        <v/>
      </c>
      <c r="D116" s="8">
        <f>IF($A116="","",'Items'!$E116)</f>
        <v/>
      </c>
      <c r="E116" s="8">
        <f>IF($A116="","",'Items'!$D116)</f>
        <v/>
      </c>
      <c r="F116" s="16">
        <f>IF($A116="","",SUMIFS('Batches'!$E$3:$E$302,'Batches'!$A$3:$A$302,$A116,'Batches'!$G$3:$G$302,$C116)+SUMIFS('Movements'!$F$3:$F$1002,'Movements'!$B$3:$B$1002,$A116,'Movements'!$E$3:$E$1002,"In",'Movements'!$H$3:$H$1002,$C116)-SUMIFS('Movements'!$F$3:$F$1002,'Movements'!$B$3:$B$1002,$A116,'Movements'!$E$3:$E$1002,"Out",'Movements'!$G$3:$G$1002,$C116)-SUMIFS('Movements'!$F$3:$F$1002,'Movements'!$B$3:$B$1002,$A116,'Movements'!$E$3:$E$1002,"Waste",'Movements'!$G$3:$G$1002,$C116)+SUMIFS('Movements'!$F$3:$F$1002,'Movements'!$B$3:$B$1002,$A116,'Movements'!$E$3:$E$1002,"Transfer",'Movements'!$H$3:$H$1002,$C116)-SUMIFS('Movements'!$F$3:$F$1002,'Movements'!$B$3:$B$1002,$A116,'Movements'!$E$3:$E$1002,"Transfer",'Movements'!$G$3:$G$1002,$C116))</f>
        <v/>
      </c>
      <c r="G116" s="15">
        <f>IF($A116="","",'Items'!$I116)</f>
        <v/>
      </c>
      <c r="H116" s="8">
        <f>IF(OR($A116="",$G116=""),"",IF($F116&lt;$G116,"Below minimum","OK"))</f>
        <v/>
      </c>
      <c r="I116" s="18">
        <f>IF($A116="","",IF(SUMPRODUCT(SMALL(('Batches'!$A$3:$A$302=$A116)*('Batches'!$G$3:$G$302=$C116)*('Batches'!$D$3:$D$302&gt;0)*('Batches'!$H$3:$H$302&gt;0)*'Batches'!$D$3:$D$302+(1-('Batches'!$A$3:$A$302=$A116)*('Batches'!$G$3:$G$302=$C116)*('Batches'!$D$3:$D$302&gt;0)*('Batches'!$H$3:$H$302&gt;0))*100000,1))&gt;=100000,"",SUMPRODUCT(SMALL(('Batches'!$A$3:$A$302=$A116)*('Batches'!$G$3:$G$302=$C116)*('Batches'!$D$3:$D$302&gt;0)*('Batches'!$H$3:$H$302&gt;0)*'Batches'!$D$3:$D$302+(1-('Batches'!$A$3:$A$302=$A116)*('Batches'!$G$3:$G$302=$C116)*('Batches'!$D$3:$D$302&gt;0)*('Batches'!$H$3:$H$302&gt;0))*100000,1))))</f>
        <v/>
      </c>
      <c r="J116" s="16">
        <f>IF($A116="","",SUMIFS('Batches'!$H$3:$H$302,'Batches'!$A$3:$A$302,$A116,'Batches'!$G$3:$G$302,$C116,'Batches'!$D$3:$D$302,"&gt;0",'Batches'!$D$3:$D$302,"&lt;="&amp;('Settings'!$B$6+'Settings'!$B$7)))</f>
        <v/>
      </c>
      <c r="K116" s="19">
        <f>IF($A116="","",'Items'!$F116)</f>
        <v/>
      </c>
      <c r="L116" s="19">
        <f>IF($A116="","",$F116*$K116)</f>
        <v/>
      </c>
      <c r="M116" s="16">
        <f>IF($A116="","",IF(AND($H116="Below minimum",OR('Order list'!$B$4="",$D116='Order list'!$B$4)),IFERROR(MATCH($D116,Suppliers,0),99)*10000+ROW(),""))</f>
        <v/>
      </c>
    </row>
    <row r="117">
      <c r="A117" s="8">
        <f>IF('Items'!$A117="","",'Items'!$A117)</f>
        <v/>
      </c>
      <c r="B117" s="8">
        <f>IF($A117="","",'Items'!$B117)</f>
        <v/>
      </c>
      <c r="C117" s="8">
        <f>IF($A117="","",'Items'!$K117)</f>
        <v/>
      </c>
      <c r="D117" s="8">
        <f>IF($A117="","",'Items'!$E117)</f>
        <v/>
      </c>
      <c r="E117" s="8">
        <f>IF($A117="","",'Items'!$D117)</f>
        <v/>
      </c>
      <c r="F117" s="16">
        <f>IF($A117="","",SUMIFS('Batches'!$E$3:$E$302,'Batches'!$A$3:$A$302,$A117,'Batches'!$G$3:$G$302,$C117)+SUMIFS('Movements'!$F$3:$F$1002,'Movements'!$B$3:$B$1002,$A117,'Movements'!$E$3:$E$1002,"In",'Movements'!$H$3:$H$1002,$C117)-SUMIFS('Movements'!$F$3:$F$1002,'Movements'!$B$3:$B$1002,$A117,'Movements'!$E$3:$E$1002,"Out",'Movements'!$G$3:$G$1002,$C117)-SUMIFS('Movements'!$F$3:$F$1002,'Movements'!$B$3:$B$1002,$A117,'Movements'!$E$3:$E$1002,"Waste",'Movements'!$G$3:$G$1002,$C117)+SUMIFS('Movements'!$F$3:$F$1002,'Movements'!$B$3:$B$1002,$A117,'Movements'!$E$3:$E$1002,"Transfer",'Movements'!$H$3:$H$1002,$C117)-SUMIFS('Movements'!$F$3:$F$1002,'Movements'!$B$3:$B$1002,$A117,'Movements'!$E$3:$E$1002,"Transfer",'Movements'!$G$3:$G$1002,$C117))</f>
        <v/>
      </c>
      <c r="G117" s="15">
        <f>IF($A117="","",'Items'!$I117)</f>
        <v/>
      </c>
      <c r="H117" s="8">
        <f>IF(OR($A117="",$G117=""),"",IF($F117&lt;$G117,"Below minimum","OK"))</f>
        <v/>
      </c>
      <c r="I117" s="18">
        <f>IF($A117="","",IF(SUMPRODUCT(SMALL(('Batches'!$A$3:$A$302=$A117)*('Batches'!$G$3:$G$302=$C117)*('Batches'!$D$3:$D$302&gt;0)*('Batches'!$H$3:$H$302&gt;0)*'Batches'!$D$3:$D$302+(1-('Batches'!$A$3:$A$302=$A117)*('Batches'!$G$3:$G$302=$C117)*('Batches'!$D$3:$D$302&gt;0)*('Batches'!$H$3:$H$302&gt;0))*100000,1))&gt;=100000,"",SUMPRODUCT(SMALL(('Batches'!$A$3:$A$302=$A117)*('Batches'!$G$3:$G$302=$C117)*('Batches'!$D$3:$D$302&gt;0)*('Batches'!$H$3:$H$302&gt;0)*'Batches'!$D$3:$D$302+(1-('Batches'!$A$3:$A$302=$A117)*('Batches'!$G$3:$G$302=$C117)*('Batches'!$D$3:$D$302&gt;0)*('Batches'!$H$3:$H$302&gt;0))*100000,1))))</f>
        <v/>
      </c>
      <c r="J117" s="16">
        <f>IF($A117="","",SUMIFS('Batches'!$H$3:$H$302,'Batches'!$A$3:$A$302,$A117,'Batches'!$G$3:$G$302,$C117,'Batches'!$D$3:$D$302,"&gt;0",'Batches'!$D$3:$D$302,"&lt;="&amp;('Settings'!$B$6+'Settings'!$B$7)))</f>
        <v/>
      </c>
      <c r="K117" s="19">
        <f>IF($A117="","",'Items'!$F117)</f>
        <v/>
      </c>
      <c r="L117" s="19">
        <f>IF($A117="","",$F117*$K117)</f>
        <v/>
      </c>
      <c r="M117" s="16">
        <f>IF($A117="","",IF(AND($H117="Below minimum",OR('Order list'!$B$4="",$D117='Order list'!$B$4)),IFERROR(MATCH($D117,Suppliers,0),99)*10000+ROW(),""))</f>
        <v/>
      </c>
    </row>
    <row r="118">
      <c r="A118" s="8">
        <f>IF('Items'!$A118="","",'Items'!$A118)</f>
        <v/>
      </c>
      <c r="B118" s="8">
        <f>IF($A118="","",'Items'!$B118)</f>
        <v/>
      </c>
      <c r="C118" s="8">
        <f>IF($A118="","",'Items'!$K118)</f>
        <v/>
      </c>
      <c r="D118" s="8">
        <f>IF($A118="","",'Items'!$E118)</f>
        <v/>
      </c>
      <c r="E118" s="8">
        <f>IF($A118="","",'Items'!$D118)</f>
        <v/>
      </c>
      <c r="F118" s="16">
        <f>IF($A118="","",SUMIFS('Batches'!$E$3:$E$302,'Batches'!$A$3:$A$302,$A118,'Batches'!$G$3:$G$302,$C118)+SUMIFS('Movements'!$F$3:$F$1002,'Movements'!$B$3:$B$1002,$A118,'Movements'!$E$3:$E$1002,"In",'Movements'!$H$3:$H$1002,$C118)-SUMIFS('Movements'!$F$3:$F$1002,'Movements'!$B$3:$B$1002,$A118,'Movements'!$E$3:$E$1002,"Out",'Movements'!$G$3:$G$1002,$C118)-SUMIFS('Movements'!$F$3:$F$1002,'Movements'!$B$3:$B$1002,$A118,'Movements'!$E$3:$E$1002,"Waste",'Movements'!$G$3:$G$1002,$C118)+SUMIFS('Movements'!$F$3:$F$1002,'Movements'!$B$3:$B$1002,$A118,'Movements'!$E$3:$E$1002,"Transfer",'Movements'!$H$3:$H$1002,$C118)-SUMIFS('Movements'!$F$3:$F$1002,'Movements'!$B$3:$B$1002,$A118,'Movements'!$E$3:$E$1002,"Transfer",'Movements'!$G$3:$G$1002,$C118))</f>
        <v/>
      </c>
      <c r="G118" s="15">
        <f>IF($A118="","",'Items'!$I118)</f>
        <v/>
      </c>
      <c r="H118" s="8">
        <f>IF(OR($A118="",$G118=""),"",IF($F118&lt;$G118,"Below minimum","OK"))</f>
        <v/>
      </c>
      <c r="I118" s="18">
        <f>IF($A118="","",IF(SUMPRODUCT(SMALL(('Batches'!$A$3:$A$302=$A118)*('Batches'!$G$3:$G$302=$C118)*('Batches'!$D$3:$D$302&gt;0)*('Batches'!$H$3:$H$302&gt;0)*'Batches'!$D$3:$D$302+(1-('Batches'!$A$3:$A$302=$A118)*('Batches'!$G$3:$G$302=$C118)*('Batches'!$D$3:$D$302&gt;0)*('Batches'!$H$3:$H$302&gt;0))*100000,1))&gt;=100000,"",SUMPRODUCT(SMALL(('Batches'!$A$3:$A$302=$A118)*('Batches'!$G$3:$G$302=$C118)*('Batches'!$D$3:$D$302&gt;0)*('Batches'!$H$3:$H$302&gt;0)*'Batches'!$D$3:$D$302+(1-('Batches'!$A$3:$A$302=$A118)*('Batches'!$G$3:$G$302=$C118)*('Batches'!$D$3:$D$302&gt;0)*('Batches'!$H$3:$H$302&gt;0))*100000,1))))</f>
        <v/>
      </c>
      <c r="J118" s="16">
        <f>IF($A118="","",SUMIFS('Batches'!$H$3:$H$302,'Batches'!$A$3:$A$302,$A118,'Batches'!$G$3:$G$302,$C118,'Batches'!$D$3:$D$302,"&gt;0",'Batches'!$D$3:$D$302,"&lt;="&amp;('Settings'!$B$6+'Settings'!$B$7)))</f>
        <v/>
      </c>
      <c r="K118" s="19">
        <f>IF($A118="","",'Items'!$F118)</f>
        <v/>
      </c>
      <c r="L118" s="19">
        <f>IF($A118="","",$F118*$K118)</f>
        <v/>
      </c>
      <c r="M118" s="16">
        <f>IF($A118="","",IF(AND($H118="Below minimum",OR('Order list'!$B$4="",$D118='Order list'!$B$4)),IFERROR(MATCH($D118,Suppliers,0),99)*10000+ROW(),""))</f>
        <v/>
      </c>
    </row>
    <row r="119">
      <c r="A119" s="8">
        <f>IF('Items'!$A119="","",'Items'!$A119)</f>
        <v/>
      </c>
      <c r="B119" s="8">
        <f>IF($A119="","",'Items'!$B119)</f>
        <v/>
      </c>
      <c r="C119" s="8">
        <f>IF($A119="","",'Items'!$K119)</f>
        <v/>
      </c>
      <c r="D119" s="8">
        <f>IF($A119="","",'Items'!$E119)</f>
        <v/>
      </c>
      <c r="E119" s="8">
        <f>IF($A119="","",'Items'!$D119)</f>
        <v/>
      </c>
      <c r="F119" s="16">
        <f>IF($A119="","",SUMIFS('Batches'!$E$3:$E$302,'Batches'!$A$3:$A$302,$A119,'Batches'!$G$3:$G$302,$C119)+SUMIFS('Movements'!$F$3:$F$1002,'Movements'!$B$3:$B$1002,$A119,'Movements'!$E$3:$E$1002,"In",'Movements'!$H$3:$H$1002,$C119)-SUMIFS('Movements'!$F$3:$F$1002,'Movements'!$B$3:$B$1002,$A119,'Movements'!$E$3:$E$1002,"Out",'Movements'!$G$3:$G$1002,$C119)-SUMIFS('Movements'!$F$3:$F$1002,'Movements'!$B$3:$B$1002,$A119,'Movements'!$E$3:$E$1002,"Waste",'Movements'!$G$3:$G$1002,$C119)+SUMIFS('Movements'!$F$3:$F$1002,'Movements'!$B$3:$B$1002,$A119,'Movements'!$E$3:$E$1002,"Transfer",'Movements'!$H$3:$H$1002,$C119)-SUMIFS('Movements'!$F$3:$F$1002,'Movements'!$B$3:$B$1002,$A119,'Movements'!$E$3:$E$1002,"Transfer",'Movements'!$G$3:$G$1002,$C119))</f>
        <v/>
      </c>
      <c r="G119" s="15">
        <f>IF($A119="","",'Items'!$I119)</f>
        <v/>
      </c>
      <c r="H119" s="8">
        <f>IF(OR($A119="",$G119=""),"",IF($F119&lt;$G119,"Below minimum","OK"))</f>
        <v/>
      </c>
      <c r="I119" s="18">
        <f>IF($A119="","",IF(SUMPRODUCT(SMALL(('Batches'!$A$3:$A$302=$A119)*('Batches'!$G$3:$G$302=$C119)*('Batches'!$D$3:$D$302&gt;0)*('Batches'!$H$3:$H$302&gt;0)*'Batches'!$D$3:$D$302+(1-('Batches'!$A$3:$A$302=$A119)*('Batches'!$G$3:$G$302=$C119)*('Batches'!$D$3:$D$302&gt;0)*('Batches'!$H$3:$H$302&gt;0))*100000,1))&gt;=100000,"",SUMPRODUCT(SMALL(('Batches'!$A$3:$A$302=$A119)*('Batches'!$G$3:$G$302=$C119)*('Batches'!$D$3:$D$302&gt;0)*('Batches'!$H$3:$H$302&gt;0)*'Batches'!$D$3:$D$302+(1-('Batches'!$A$3:$A$302=$A119)*('Batches'!$G$3:$G$302=$C119)*('Batches'!$D$3:$D$302&gt;0)*('Batches'!$H$3:$H$302&gt;0))*100000,1))))</f>
        <v/>
      </c>
      <c r="J119" s="16">
        <f>IF($A119="","",SUMIFS('Batches'!$H$3:$H$302,'Batches'!$A$3:$A$302,$A119,'Batches'!$G$3:$G$302,$C119,'Batches'!$D$3:$D$302,"&gt;0",'Batches'!$D$3:$D$302,"&lt;="&amp;('Settings'!$B$6+'Settings'!$B$7)))</f>
        <v/>
      </c>
      <c r="K119" s="19">
        <f>IF($A119="","",'Items'!$F119)</f>
        <v/>
      </c>
      <c r="L119" s="19">
        <f>IF($A119="","",$F119*$K119)</f>
        <v/>
      </c>
      <c r="M119" s="16">
        <f>IF($A119="","",IF(AND($H119="Below minimum",OR('Order list'!$B$4="",$D119='Order list'!$B$4)),IFERROR(MATCH($D119,Suppliers,0),99)*10000+ROW(),""))</f>
        <v/>
      </c>
    </row>
    <row r="120">
      <c r="A120" s="8">
        <f>IF('Items'!$A120="","",'Items'!$A120)</f>
        <v/>
      </c>
      <c r="B120" s="8">
        <f>IF($A120="","",'Items'!$B120)</f>
        <v/>
      </c>
      <c r="C120" s="8">
        <f>IF($A120="","",'Items'!$K120)</f>
        <v/>
      </c>
      <c r="D120" s="8">
        <f>IF($A120="","",'Items'!$E120)</f>
        <v/>
      </c>
      <c r="E120" s="8">
        <f>IF($A120="","",'Items'!$D120)</f>
        <v/>
      </c>
      <c r="F120" s="16">
        <f>IF($A120="","",SUMIFS('Batches'!$E$3:$E$302,'Batches'!$A$3:$A$302,$A120,'Batches'!$G$3:$G$302,$C120)+SUMIFS('Movements'!$F$3:$F$1002,'Movements'!$B$3:$B$1002,$A120,'Movements'!$E$3:$E$1002,"In",'Movements'!$H$3:$H$1002,$C120)-SUMIFS('Movements'!$F$3:$F$1002,'Movements'!$B$3:$B$1002,$A120,'Movements'!$E$3:$E$1002,"Out",'Movements'!$G$3:$G$1002,$C120)-SUMIFS('Movements'!$F$3:$F$1002,'Movements'!$B$3:$B$1002,$A120,'Movements'!$E$3:$E$1002,"Waste",'Movements'!$G$3:$G$1002,$C120)+SUMIFS('Movements'!$F$3:$F$1002,'Movements'!$B$3:$B$1002,$A120,'Movements'!$E$3:$E$1002,"Transfer",'Movements'!$H$3:$H$1002,$C120)-SUMIFS('Movements'!$F$3:$F$1002,'Movements'!$B$3:$B$1002,$A120,'Movements'!$E$3:$E$1002,"Transfer",'Movements'!$G$3:$G$1002,$C120))</f>
        <v/>
      </c>
      <c r="G120" s="15">
        <f>IF($A120="","",'Items'!$I120)</f>
        <v/>
      </c>
      <c r="H120" s="8">
        <f>IF(OR($A120="",$G120=""),"",IF($F120&lt;$G120,"Below minimum","OK"))</f>
        <v/>
      </c>
      <c r="I120" s="18">
        <f>IF($A120="","",IF(SUMPRODUCT(SMALL(('Batches'!$A$3:$A$302=$A120)*('Batches'!$G$3:$G$302=$C120)*('Batches'!$D$3:$D$302&gt;0)*('Batches'!$H$3:$H$302&gt;0)*'Batches'!$D$3:$D$302+(1-('Batches'!$A$3:$A$302=$A120)*('Batches'!$G$3:$G$302=$C120)*('Batches'!$D$3:$D$302&gt;0)*('Batches'!$H$3:$H$302&gt;0))*100000,1))&gt;=100000,"",SUMPRODUCT(SMALL(('Batches'!$A$3:$A$302=$A120)*('Batches'!$G$3:$G$302=$C120)*('Batches'!$D$3:$D$302&gt;0)*('Batches'!$H$3:$H$302&gt;0)*'Batches'!$D$3:$D$302+(1-('Batches'!$A$3:$A$302=$A120)*('Batches'!$G$3:$G$302=$C120)*('Batches'!$D$3:$D$302&gt;0)*('Batches'!$H$3:$H$302&gt;0))*100000,1))))</f>
        <v/>
      </c>
      <c r="J120" s="16">
        <f>IF($A120="","",SUMIFS('Batches'!$H$3:$H$302,'Batches'!$A$3:$A$302,$A120,'Batches'!$G$3:$G$302,$C120,'Batches'!$D$3:$D$302,"&gt;0",'Batches'!$D$3:$D$302,"&lt;="&amp;('Settings'!$B$6+'Settings'!$B$7)))</f>
        <v/>
      </c>
      <c r="K120" s="19">
        <f>IF($A120="","",'Items'!$F120)</f>
        <v/>
      </c>
      <c r="L120" s="19">
        <f>IF($A120="","",$F120*$K120)</f>
        <v/>
      </c>
      <c r="M120" s="16">
        <f>IF($A120="","",IF(AND($H120="Below minimum",OR('Order list'!$B$4="",$D120='Order list'!$B$4)),IFERROR(MATCH($D120,Suppliers,0),99)*10000+ROW(),""))</f>
        <v/>
      </c>
    </row>
    <row r="121">
      <c r="A121" s="8">
        <f>IF('Items'!$A121="","",'Items'!$A121)</f>
        <v/>
      </c>
      <c r="B121" s="8">
        <f>IF($A121="","",'Items'!$B121)</f>
        <v/>
      </c>
      <c r="C121" s="8">
        <f>IF($A121="","",'Items'!$K121)</f>
        <v/>
      </c>
      <c r="D121" s="8">
        <f>IF($A121="","",'Items'!$E121)</f>
        <v/>
      </c>
      <c r="E121" s="8">
        <f>IF($A121="","",'Items'!$D121)</f>
        <v/>
      </c>
      <c r="F121" s="16">
        <f>IF($A121="","",SUMIFS('Batches'!$E$3:$E$302,'Batches'!$A$3:$A$302,$A121,'Batches'!$G$3:$G$302,$C121)+SUMIFS('Movements'!$F$3:$F$1002,'Movements'!$B$3:$B$1002,$A121,'Movements'!$E$3:$E$1002,"In",'Movements'!$H$3:$H$1002,$C121)-SUMIFS('Movements'!$F$3:$F$1002,'Movements'!$B$3:$B$1002,$A121,'Movements'!$E$3:$E$1002,"Out",'Movements'!$G$3:$G$1002,$C121)-SUMIFS('Movements'!$F$3:$F$1002,'Movements'!$B$3:$B$1002,$A121,'Movements'!$E$3:$E$1002,"Waste",'Movements'!$G$3:$G$1002,$C121)+SUMIFS('Movements'!$F$3:$F$1002,'Movements'!$B$3:$B$1002,$A121,'Movements'!$E$3:$E$1002,"Transfer",'Movements'!$H$3:$H$1002,$C121)-SUMIFS('Movements'!$F$3:$F$1002,'Movements'!$B$3:$B$1002,$A121,'Movements'!$E$3:$E$1002,"Transfer",'Movements'!$G$3:$G$1002,$C121))</f>
        <v/>
      </c>
      <c r="G121" s="15">
        <f>IF($A121="","",'Items'!$I121)</f>
        <v/>
      </c>
      <c r="H121" s="8">
        <f>IF(OR($A121="",$G121=""),"",IF($F121&lt;$G121,"Below minimum","OK"))</f>
        <v/>
      </c>
      <c r="I121" s="18">
        <f>IF($A121="","",IF(SUMPRODUCT(SMALL(('Batches'!$A$3:$A$302=$A121)*('Batches'!$G$3:$G$302=$C121)*('Batches'!$D$3:$D$302&gt;0)*('Batches'!$H$3:$H$302&gt;0)*'Batches'!$D$3:$D$302+(1-('Batches'!$A$3:$A$302=$A121)*('Batches'!$G$3:$G$302=$C121)*('Batches'!$D$3:$D$302&gt;0)*('Batches'!$H$3:$H$302&gt;0))*100000,1))&gt;=100000,"",SUMPRODUCT(SMALL(('Batches'!$A$3:$A$302=$A121)*('Batches'!$G$3:$G$302=$C121)*('Batches'!$D$3:$D$302&gt;0)*('Batches'!$H$3:$H$302&gt;0)*'Batches'!$D$3:$D$302+(1-('Batches'!$A$3:$A$302=$A121)*('Batches'!$G$3:$G$302=$C121)*('Batches'!$D$3:$D$302&gt;0)*('Batches'!$H$3:$H$302&gt;0))*100000,1))))</f>
        <v/>
      </c>
      <c r="J121" s="16">
        <f>IF($A121="","",SUMIFS('Batches'!$H$3:$H$302,'Batches'!$A$3:$A$302,$A121,'Batches'!$G$3:$G$302,$C121,'Batches'!$D$3:$D$302,"&gt;0",'Batches'!$D$3:$D$302,"&lt;="&amp;('Settings'!$B$6+'Settings'!$B$7)))</f>
        <v/>
      </c>
      <c r="K121" s="19">
        <f>IF($A121="","",'Items'!$F121)</f>
        <v/>
      </c>
      <c r="L121" s="19">
        <f>IF($A121="","",$F121*$K121)</f>
        <v/>
      </c>
      <c r="M121" s="16">
        <f>IF($A121="","",IF(AND($H121="Below minimum",OR('Order list'!$B$4="",$D121='Order list'!$B$4)),IFERROR(MATCH($D121,Suppliers,0),99)*10000+ROW(),""))</f>
        <v/>
      </c>
    </row>
    <row r="122">
      <c r="A122" s="8">
        <f>IF('Items'!$A122="","",'Items'!$A122)</f>
        <v/>
      </c>
      <c r="B122" s="8">
        <f>IF($A122="","",'Items'!$B122)</f>
        <v/>
      </c>
      <c r="C122" s="8">
        <f>IF($A122="","",'Items'!$K122)</f>
        <v/>
      </c>
      <c r="D122" s="8">
        <f>IF($A122="","",'Items'!$E122)</f>
        <v/>
      </c>
      <c r="E122" s="8">
        <f>IF($A122="","",'Items'!$D122)</f>
        <v/>
      </c>
      <c r="F122" s="16">
        <f>IF($A122="","",SUMIFS('Batches'!$E$3:$E$302,'Batches'!$A$3:$A$302,$A122,'Batches'!$G$3:$G$302,$C122)+SUMIFS('Movements'!$F$3:$F$1002,'Movements'!$B$3:$B$1002,$A122,'Movements'!$E$3:$E$1002,"In",'Movements'!$H$3:$H$1002,$C122)-SUMIFS('Movements'!$F$3:$F$1002,'Movements'!$B$3:$B$1002,$A122,'Movements'!$E$3:$E$1002,"Out",'Movements'!$G$3:$G$1002,$C122)-SUMIFS('Movements'!$F$3:$F$1002,'Movements'!$B$3:$B$1002,$A122,'Movements'!$E$3:$E$1002,"Waste",'Movements'!$G$3:$G$1002,$C122)+SUMIFS('Movements'!$F$3:$F$1002,'Movements'!$B$3:$B$1002,$A122,'Movements'!$E$3:$E$1002,"Transfer",'Movements'!$H$3:$H$1002,$C122)-SUMIFS('Movements'!$F$3:$F$1002,'Movements'!$B$3:$B$1002,$A122,'Movements'!$E$3:$E$1002,"Transfer",'Movements'!$G$3:$G$1002,$C122))</f>
        <v/>
      </c>
      <c r="G122" s="15">
        <f>IF($A122="","",'Items'!$I122)</f>
        <v/>
      </c>
      <c r="H122" s="8">
        <f>IF(OR($A122="",$G122=""),"",IF($F122&lt;$G122,"Below minimum","OK"))</f>
        <v/>
      </c>
      <c r="I122" s="18">
        <f>IF($A122="","",IF(SUMPRODUCT(SMALL(('Batches'!$A$3:$A$302=$A122)*('Batches'!$G$3:$G$302=$C122)*('Batches'!$D$3:$D$302&gt;0)*('Batches'!$H$3:$H$302&gt;0)*'Batches'!$D$3:$D$302+(1-('Batches'!$A$3:$A$302=$A122)*('Batches'!$G$3:$G$302=$C122)*('Batches'!$D$3:$D$302&gt;0)*('Batches'!$H$3:$H$302&gt;0))*100000,1))&gt;=100000,"",SUMPRODUCT(SMALL(('Batches'!$A$3:$A$302=$A122)*('Batches'!$G$3:$G$302=$C122)*('Batches'!$D$3:$D$302&gt;0)*('Batches'!$H$3:$H$302&gt;0)*'Batches'!$D$3:$D$302+(1-('Batches'!$A$3:$A$302=$A122)*('Batches'!$G$3:$G$302=$C122)*('Batches'!$D$3:$D$302&gt;0)*('Batches'!$H$3:$H$302&gt;0))*100000,1))))</f>
        <v/>
      </c>
      <c r="J122" s="16">
        <f>IF($A122="","",SUMIFS('Batches'!$H$3:$H$302,'Batches'!$A$3:$A$302,$A122,'Batches'!$G$3:$G$302,$C122,'Batches'!$D$3:$D$302,"&gt;0",'Batches'!$D$3:$D$302,"&lt;="&amp;('Settings'!$B$6+'Settings'!$B$7)))</f>
        <v/>
      </c>
      <c r="K122" s="19">
        <f>IF($A122="","",'Items'!$F122)</f>
        <v/>
      </c>
      <c r="L122" s="19">
        <f>IF($A122="","",$F122*$K122)</f>
        <v/>
      </c>
      <c r="M122" s="16">
        <f>IF($A122="","",IF(AND($H122="Below minimum",OR('Order list'!$B$4="",$D122='Order list'!$B$4)),IFERROR(MATCH($D122,Suppliers,0),99)*10000+ROW(),""))</f>
        <v/>
      </c>
    </row>
    <row r="123">
      <c r="A123" s="8">
        <f>IF('Items'!$A123="","",'Items'!$A123)</f>
        <v/>
      </c>
      <c r="B123" s="8">
        <f>IF($A123="","",'Items'!$B123)</f>
        <v/>
      </c>
      <c r="C123" s="8">
        <f>IF($A123="","",'Items'!$K123)</f>
        <v/>
      </c>
      <c r="D123" s="8">
        <f>IF($A123="","",'Items'!$E123)</f>
        <v/>
      </c>
      <c r="E123" s="8">
        <f>IF($A123="","",'Items'!$D123)</f>
        <v/>
      </c>
      <c r="F123" s="16">
        <f>IF($A123="","",SUMIFS('Batches'!$E$3:$E$302,'Batches'!$A$3:$A$302,$A123,'Batches'!$G$3:$G$302,$C123)+SUMIFS('Movements'!$F$3:$F$1002,'Movements'!$B$3:$B$1002,$A123,'Movements'!$E$3:$E$1002,"In",'Movements'!$H$3:$H$1002,$C123)-SUMIFS('Movements'!$F$3:$F$1002,'Movements'!$B$3:$B$1002,$A123,'Movements'!$E$3:$E$1002,"Out",'Movements'!$G$3:$G$1002,$C123)-SUMIFS('Movements'!$F$3:$F$1002,'Movements'!$B$3:$B$1002,$A123,'Movements'!$E$3:$E$1002,"Waste",'Movements'!$G$3:$G$1002,$C123)+SUMIFS('Movements'!$F$3:$F$1002,'Movements'!$B$3:$B$1002,$A123,'Movements'!$E$3:$E$1002,"Transfer",'Movements'!$H$3:$H$1002,$C123)-SUMIFS('Movements'!$F$3:$F$1002,'Movements'!$B$3:$B$1002,$A123,'Movements'!$E$3:$E$1002,"Transfer",'Movements'!$G$3:$G$1002,$C123))</f>
        <v/>
      </c>
      <c r="G123" s="15">
        <f>IF($A123="","",'Items'!$I123)</f>
        <v/>
      </c>
      <c r="H123" s="8">
        <f>IF(OR($A123="",$G123=""),"",IF($F123&lt;$G123,"Below minimum","OK"))</f>
        <v/>
      </c>
      <c r="I123" s="18">
        <f>IF($A123="","",IF(SUMPRODUCT(SMALL(('Batches'!$A$3:$A$302=$A123)*('Batches'!$G$3:$G$302=$C123)*('Batches'!$D$3:$D$302&gt;0)*('Batches'!$H$3:$H$302&gt;0)*'Batches'!$D$3:$D$302+(1-('Batches'!$A$3:$A$302=$A123)*('Batches'!$G$3:$G$302=$C123)*('Batches'!$D$3:$D$302&gt;0)*('Batches'!$H$3:$H$302&gt;0))*100000,1))&gt;=100000,"",SUMPRODUCT(SMALL(('Batches'!$A$3:$A$302=$A123)*('Batches'!$G$3:$G$302=$C123)*('Batches'!$D$3:$D$302&gt;0)*('Batches'!$H$3:$H$302&gt;0)*'Batches'!$D$3:$D$302+(1-('Batches'!$A$3:$A$302=$A123)*('Batches'!$G$3:$G$302=$C123)*('Batches'!$D$3:$D$302&gt;0)*('Batches'!$H$3:$H$302&gt;0))*100000,1))))</f>
        <v/>
      </c>
      <c r="J123" s="16">
        <f>IF($A123="","",SUMIFS('Batches'!$H$3:$H$302,'Batches'!$A$3:$A$302,$A123,'Batches'!$G$3:$G$302,$C123,'Batches'!$D$3:$D$302,"&gt;0",'Batches'!$D$3:$D$302,"&lt;="&amp;('Settings'!$B$6+'Settings'!$B$7)))</f>
        <v/>
      </c>
      <c r="K123" s="19">
        <f>IF($A123="","",'Items'!$F123)</f>
        <v/>
      </c>
      <c r="L123" s="19">
        <f>IF($A123="","",$F123*$K123)</f>
        <v/>
      </c>
      <c r="M123" s="16">
        <f>IF($A123="","",IF(AND($H123="Below minimum",OR('Order list'!$B$4="",$D123='Order list'!$B$4)),IFERROR(MATCH($D123,Suppliers,0),99)*10000+ROW(),""))</f>
        <v/>
      </c>
    </row>
    <row r="124">
      <c r="A124" s="8">
        <f>IF('Items'!$A124="","",'Items'!$A124)</f>
        <v/>
      </c>
      <c r="B124" s="8">
        <f>IF($A124="","",'Items'!$B124)</f>
        <v/>
      </c>
      <c r="C124" s="8">
        <f>IF($A124="","",'Items'!$K124)</f>
        <v/>
      </c>
      <c r="D124" s="8">
        <f>IF($A124="","",'Items'!$E124)</f>
        <v/>
      </c>
      <c r="E124" s="8">
        <f>IF($A124="","",'Items'!$D124)</f>
        <v/>
      </c>
      <c r="F124" s="16">
        <f>IF($A124="","",SUMIFS('Batches'!$E$3:$E$302,'Batches'!$A$3:$A$302,$A124,'Batches'!$G$3:$G$302,$C124)+SUMIFS('Movements'!$F$3:$F$1002,'Movements'!$B$3:$B$1002,$A124,'Movements'!$E$3:$E$1002,"In",'Movements'!$H$3:$H$1002,$C124)-SUMIFS('Movements'!$F$3:$F$1002,'Movements'!$B$3:$B$1002,$A124,'Movements'!$E$3:$E$1002,"Out",'Movements'!$G$3:$G$1002,$C124)-SUMIFS('Movements'!$F$3:$F$1002,'Movements'!$B$3:$B$1002,$A124,'Movements'!$E$3:$E$1002,"Waste",'Movements'!$G$3:$G$1002,$C124)+SUMIFS('Movements'!$F$3:$F$1002,'Movements'!$B$3:$B$1002,$A124,'Movements'!$E$3:$E$1002,"Transfer",'Movements'!$H$3:$H$1002,$C124)-SUMIFS('Movements'!$F$3:$F$1002,'Movements'!$B$3:$B$1002,$A124,'Movements'!$E$3:$E$1002,"Transfer",'Movements'!$G$3:$G$1002,$C124))</f>
        <v/>
      </c>
      <c r="G124" s="15">
        <f>IF($A124="","",'Items'!$I124)</f>
        <v/>
      </c>
      <c r="H124" s="8">
        <f>IF(OR($A124="",$G124=""),"",IF($F124&lt;$G124,"Below minimum","OK"))</f>
        <v/>
      </c>
      <c r="I124" s="18">
        <f>IF($A124="","",IF(SUMPRODUCT(SMALL(('Batches'!$A$3:$A$302=$A124)*('Batches'!$G$3:$G$302=$C124)*('Batches'!$D$3:$D$302&gt;0)*('Batches'!$H$3:$H$302&gt;0)*'Batches'!$D$3:$D$302+(1-('Batches'!$A$3:$A$302=$A124)*('Batches'!$G$3:$G$302=$C124)*('Batches'!$D$3:$D$302&gt;0)*('Batches'!$H$3:$H$302&gt;0))*100000,1))&gt;=100000,"",SUMPRODUCT(SMALL(('Batches'!$A$3:$A$302=$A124)*('Batches'!$G$3:$G$302=$C124)*('Batches'!$D$3:$D$302&gt;0)*('Batches'!$H$3:$H$302&gt;0)*'Batches'!$D$3:$D$302+(1-('Batches'!$A$3:$A$302=$A124)*('Batches'!$G$3:$G$302=$C124)*('Batches'!$D$3:$D$302&gt;0)*('Batches'!$H$3:$H$302&gt;0))*100000,1))))</f>
        <v/>
      </c>
      <c r="J124" s="16">
        <f>IF($A124="","",SUMIFS('Batches'!$H$3:$H$302,'Batches'!$A$3:$A$302,$A124,'Batches'!$G$3:$G$302,$C124,'Batches'!$D$3:$D$302,"&gt;0",'Batches'!$D$3:$D$302,"&lt;="&amp;('Settings'!$B$6+'Settings'!$B$7)))</f>
        <v/>
      </c>
      <c r="K124" s="19">
        <f>IF($A124="","",'Items'!$F124)</f>
        <v/>
      </c>
      <c r="L124" s="19">
        <f>IF($A124="","",$F124*$K124)</f>
        <v/>
      </c>
      <c r="M124" s="16">
        <f>IF($A124="","",IF(AND($H124="Below minimum",OR('Order list'!$B$4="",$D124='Order list'!$B$4)),IFERROR(MATCH($D124,Suppliers,0),99)*10000+ROW(),""))</f>
        <v/>
      </c>
    </row>
    <row r="125">
      <c r="A125" s="8">
        <f>IF('Items'!$A125="","",'Items'!$A125)</f>
        <v/>
      </c>
      <c r="B125" s="8">
        <f>IF($A125="","",'Items'!$B125)</f>
        <v/>
      </c>
      <c r="C125" s="8">
        <f>IF($A125="","",'Items'!$K125)</f>
        <v/>
      </c>
      <c r="D125" s="8">
        <f>IF($A125="","",'Items'!$E125)</f>
        <v/>
      </c>
      <c r="E125" s="8">
        <f>IF($A125="","",'Items'!$D125)</f>
        <v/>
      </c>
      <c r="F125" s="16">
        <f>IF($A125="","",SUMIFS('Batches'!$E$3:$E$302,'Batches'!$A$3:$A$302,$A125,'Batches'!$G$3:$G$302,$C125)+SUMIFS('Movements'!$F$3:$F$1002,'Movements'!$B$3:$B$1002,$A125,'Movements'!$E$3:$E$1002,"In",'Movements'!$H$3:$H$1002,$C125)-SUMIFS('Movements'!$F$3:$F$1002,'Movements'!$B$3:$B$1002,$A125,'Movements'!$E$3:$E$1002,"Out",'Movements'!$G$3:$G$1002,$C125)-SUMIFS('Movements'!$F$3:$F$1002,'Movements'!$B$3:$B$1002,$A125,'Movements'!$E$3:$E$1002,"Waste",'Movements'!$G$3:$G$1002,$C125)+SUMIFS('Movements'!$F$3:$F$1002,'Movements'!$B$3:$B$1002,$A125,'Movements'!$E$3:$E$1002,"Transfer",'Movements'!$H$3:$H$1002,$C125)-SUMIFS('Movements'!$F$3:$F$1002,'Movements'!$B$3:$B$1002,$A125,'Movements'!$E$3:$E$1002,"Transfer",'Movements'!$G$3:$G$1002,$C125))</f>
        <v/>
      </c>
      <c r="G125" s="15">
        <f>IF($A125="","",'Items'!$I125)</f>
        <v/>
      </c>
      <c r="H125" s="8">
        <f>IF(OR($A125="",$G125=""),"",IF($F125&lt;$G125,"Below minimum","OK"))</f>
        <v/>
      </c>
      <c r="I125" s="18">
        <f>IF($A125="","",IF(SUMPRODUCT(SMALL(('Batches'!$A$3:$A$302=$A125)*('Batches'!$G$3:$G$302=$C125)*('Batches'!$D$3:$D$302&gt;0)*('Batches'!$H$3:$H$302&gt;0)*'Batches'!$D$3:$D$302+(1-('Batches'!$A$3:$A$302=$A125)*('Batches'!$G$3:$G$302=$C125)*('Batches'!$D$3:$D$302&gt;0)*('Batches'!$H$3:$H$302&gt;0))*100000,1))&gt;=100000,"",SUMPRODUCT(SMALL(('Batches'!$A$3:$A$302=$A125)*('Batches'!$G$3:$G$302=$C125)*('Batches'!$D$3:$D$302&gt;0)*('Batches'!$H$3:$H$302&gt;0)*'Batches'!$D$3:$D$302+(1-('Batches'!$A$3:$A$302=$A125)*('Batches'!$G$3:$G$302=$C125)*('Batches'!$D$3:$D$302&gt;0)*('Batches'!$H$3:$H$302&gt;0))*100000,1))))</f>
        <v/>
      </c>
      <c r="J125" s="16">
        <f>IF($A125="","",SUMIFS('Batches'!$H$3:$H$302,'Batches'!$A$3:$A$302,$A125,'Batches'!$G$3:$G$302,$C125,'Batches'!$D$3:$D$302,"&gt;0",'Batches'!$D$3:$D$302,"&lt;="&amp;('Settings'!$B$6+'Settings'!$B$7)))</f>
        <v/>
      </c>
      <c r="K125" s="19">
        <f>IF($A125="","",'Items'!$F125)</f>
        <v/>
      </c>
      <c r="L125" s="19">
        <f>IF($A125="","",$F125*$K125)</f>
        <v/>
      </c>
      <c r="M125" s="16">
        <f>IF($A125="","",IF(AND($H125="Below minimum",OR('Order list'!$B$4="",$D125='Order list'!$B$4)),IFERROR(MATCH($D125,Suppliers,0),99)*10000+ROW(),""))</f>
        <v/>
      </c>
    </row>
    <row r="126">
      <c r="A126" s="8">
        <f>IF('Items'!$A126="","",'Items'!$A126)</f>
        <v/>
      </c>
      <c r="B126" s="8">
        <f>IF($A126="","",'Items'!$B126)</f>
        <v/>
      </c>
      <c r="C126" s="8">
        <f>IF($A126="","",'Items'!$K126)</f>
        <v/>
      </c>
      <c r="D126" s="8">
        <f>IF($A126="","",'Items'!$E126)</f>
        <v/>
      </c>
      <c r="E126" s="8">
        <f>IF($A126="","",'Items'!$D126)</f>
        <v/>
      </c>
      <c r="F126" s="16">
        <f>IF($A126="","",SUMIFS('Batches'!$E$3:$E$302,'Batches'!$A$3:$A$302,$A126,'Batches'!$G$3:$G$302,$C126)+SUMIFS('Movements'!$F$3:$F$1002,'Movements'!$B$3:$B$1002,$A126,'Movements'!$E$3:$E$1002,"In",'Movements'!$H$3:$H$1002,$C126)-SUMIFS('Movements'!$F$3:$F$1002,'Movements'!$B$3:$B$1002,$A126,'Movements'!$E$3:$E$1002,"Out",'Movements'!$G$3:$G$1002,$C126)-SUMIFS('Movements'!$F$3:$F$1002,'Movements'!$B$3:$B$1002,$A126,'Movements'!$E$3:$E$1002,"Waste",'Movements'!$G$3:$G$1002,$C126)+SUMIFS('Movements'!$F$3:$F$1002,'Movements'!$B$3:$B$1002,$A126,'Movements'!$E$3:$E$1002,"Transfer",'Movements'!$H$3:$H$1002,$C126)-SUMIFS('Movements'!$F$3:$F$1002,'Movements'!$B$3:$B$1002,$A126,'Movements'!$E$3:$E$1002,"Transfer",'Movements'!$G$3:$G$1002,$C126))</f>
        <v/>
      </c>
      <c r="G126" s="15">
        <f>IF($A126="","",'Items'!$I126)</f>
        <v/>
      </c>
      <c r="H126" s="8">
        <f>IF(OR($A126="",$G126=""),"",IF($F126&lt;$G126,"Below minimum","OK"))</f>
        <v/>
      </c>
      <c r="I126" s="18">
        <f>IF($A126="","",IF(SUMPRODUCT(SMALL(('Batches'!$A$3:$A$302=$A126)*('Batches'!$G$3:$G$302=$C126)*('Batches'!$D$3:$D$302&gt;0)*('Batches'!$H$3:$H$302&gt;0)*'Batches'!$D$3:$D$302+(1-('Batches'!$A$3:$A$302=$A126)*('Batches'!$G$3:$G$302=$C126)*('Batches'!$D$3:$D$302&gt;0)*('Batches'!$H$3:$H$302&gt;0))*100000,1))&gt;=100000,"",SUMPRODUCT(SMALL(('Batches'!$A$3:$A$302=$A126)*('Batches'!$G$3:$G$302=$C126)*('Batches'!$D$3:$D$302&gt;0)*('Batches'!$H$3:$H$302&gt;0)*'Batches'!$D$3:$D$302+(1-('Batches'!$A$3:$A$302=$A126)*('Batches'!$G$3:$G$302=$C126)*('Batches'!$D$3:$D$302&gt;0)*('Batches'!$H$3:$H$302&gt;0))*100000,1))))</f>
        <v/>
      </c>
      <c r="J126" s="16">
        <f>IF($A126="","",SUMIFS('Batches'!$H$3:$H$302,'Batches'!$A$3:$A$302,$A126,'Batches'!$G$3:$G$302,$C126,'Batches'!$D$3:$D$302,"&gt;0",'Batches'!$D$3:$D$302,"&lt;="&amp;('Settings'!$B$6+'Settings'!$B$7)))</f>
        <v/>
      </c>
      <c r="K126" s="19">
        <f>IF($A126="","",'Items'!$F126)</f>
        <v/>
      </c>
      <c r="L126" s="19">
        <f>IF($A126="","",$F126*$K126)</f>
        <v/>
      </c>
      <c r="M126" s="16">
        <f>IF($A126="","",IF(AND($H126="Below minimum",OR('Order list'!$B$4="",$D126='Order list'!$B$4)),IFERROR(MATCH($D126,Suppliers,0),99)*10000+ROW(),""))</f>
        <v/>
      </c>
    </row>
    <row r="127">
      <c r="A127" s="8">
        <f>IF('Items'!$A127="","",'Items'!$A127)</f>
        <v/>
      </c>
      <c r="B127" s="8">
        <f>IF($A127="","",'Items'!$B127)</f>
        <v/>
      </c>
      <c r="C127" s="8">
        <f>IF($A127="","",'Items'!$K127)</f>
        <v/>
      </c>
      <c r="D127" s="8">
        <f>IF($A127="","",'Items'!$E127)</f>
        <v/>
      </c>
      <c r="E127" s="8">
        <f>IF($A127="","",'Items'!$D127)</f>
        <v/>
      </c>
      <c r="F127" s="16">
        <f>IF($A127="","",SUMIFS('Batches'!$E$3:$E$302,'Batches'!$A$3:$A$302,$A127,'Batches'!$G$3:$G$302,$C127)+SUMIFS('Movements'!$F$3:$F$1002,'Movements'!$B$3:$B$1002,$A127,'Movements'!$E$3:$E$1002,"In",'Movements'!$H$3:$H$1002,$C127)-SUMIFS('Movements'!$F$3:$F$1002,'Movements'!$B$3:$B$1002,$A127,'Movements'!$E$3:$E$1002,"Out",'Movements'!$G$3:$G$1002,$C127)-SUMIFS('Movements'!$F$3:$F$1002,'Movements'!$B$3:$B$1002,$A127,'Movements'!$E$3:$E$1002,"Waste",'Movements'!$G$3:$G$1002,$C127)+SUMIFS('Movements'!$F$3:$F$1002,'Movements'!$B$3:$B$1002,$A127,'Movements'!$E$3:$E$1002,"Transfer",'Movements'!$H$3:$H$1002,$C127)-SUMIFS('Movements'!$F$3:$F$1002,'Movements'!$B$3:$B$1002,$A127,'Movements'!$E$3:$E$1002,"Transfer",'Movements'!$G$3:$G$1002,$C127))</f>
        <v/>
      </c>
      <c r="G127" s="15">
        <f>IF($A127="","",'Items'!$I127)</f>
        <v/>
      </c>
      <c r="H127" s="8">
        <f>IF(OR($A127="",$G127=""),"",IF($F127&lt;$G127,"Below minimum","OK"))</f>
        <v/>
      </c>
      <c r="I127" s="18">
        <f>IF($A127="","",IF(SUMPRODUCT(SMALL(('Batches'!$A$3:$A$302=$A127)*('Batches'!$G$3:$G$302=$C127)*('Batches'!$D$3:$D$302&gt;0)*('Batches'!$H$3:$H$302&gt;0)*'Batches'!$D$3:$D$302+(1-('Batches'!$A$3:$A$302=$A127)*('Batches'!$G$3:$G$302=$C127)*('Batches'!$D$3:$D$302&gt;0)*('Batches'!$H$3:$H$302&gt;0))*100000,1))&gt;=100000,"",SUMPRODUCT(SMALL(('Batches'!$A$3:$A$302=$A127)*('Batches'!$G$3:$G$302=$C127)*('Batches'!$D$3:$D$302&gt;0)*('Batches'!$H$3:$H$302&gt;0)*'Batches'!$D$3:$D$302+(1-('Batches'!$A$3:$A$302=$A127)*('Batches'!$G$3:$G$302=$C127)*('Batches'!$D$3:$D$302&gt;0)*('Batches'!$H$3:$H$302&gt;0))*100000,1))))</f>
        <v/>
      </c>
      <c r="J127" s="16">
        <f>IF($A127="","",SUMIFS('Batches'!$H$3:$H$302,'Batches'!$A$3:$A$302,$A127,'Batches'!$G$3:$G$302,$C127,'Batches'!$D$3:$D$302,"&gt;0",'Batches'!$D$3:$D$302,"&lt;="&amp;('Settings'!$B$6+'Settings'!$B$7)))</f>
        <v/>
      </c>
      <c r="K127" s="19">
        <f>IF($A127="","",'Items'!$F127)</f>
        <v/>
      </c>
      <c r="L127" s="19">
        <f>IF($A127="","",$F127*$K127)</f>
        <v/>
      </c>
      <c r="M127" s="16">
        <f>IF($A127="","",IF(AND($H127="Below minimum",OR('Order list'!$B$4="",$D127='Order list'!$B$4)),IFERROR(MATCH($D127,Suppliers,0),99)*10000+ROW(),""))</f>
        <v/>
      </c>
    </row>
    <row r="128">
      <c r="A128" s="8">
        <f>IF('Items'!$A128="","",'Items'!$A128)</f>
        <v/>
      </c>
      <c r="B128" s="8">
        <f>IF($A128="","",'Items'!$B128)</f>
        <v/>
      </c>
      <c r="C128" s="8">
        <f>IF($A128="","",'Items'!$K128)</f>
        <v/>
      </c>
      <c r="D128" s="8">
        <f>IF($A128="","",'Items'!$E128)</f>
        <v/>
      </c>
      <c r="E128" s="8">
        <f>IF($A128="","",'Items'!$D128)</f>
        <v/>
      </c>
      <c r="F128" s="16">
        <f>IF($A128="","",SUMIFS('Batches'!$E$3:$E$302,'Batches'!$A$3:$A$302,$A128,'Batches'!$G$3:$G$302,$C128)+SUMIFS('Movements'!$F$3:$F$1002,'Movements'!$B$3:$B$1002,$A128,'Movements'!$E$3:$E$1002,"In",'Movements'!$H$3:$H$1002,$C128)-SUMIFS('Movements'!$F$3:$F$1002,'Movements'!$B$3:$B$1002,$A128,'Movements'!$E$3:$E$1002,"Out",'Movements'!$G$3:$G$1002,$C128)-SUMIFS('Movements'!$F$3:$F$1002,'Movements'!$B$3:$B$1002,$A128,'Movements'!$E$3:$E$1002,"Waste",'Movements'!$G$3:$G$1002,$C128)+SUMIFS('Movements'!$F$3:$F$1002,'Movements'!$B$3:$B$1002,$A128,'Movements'!$E$3:$E$1002,"Transfer",'Movements'!$H$3:$H$1002,$C128)-SUMIFS('Movements'!$F$3:$F$1002,'Movements'!$B$3:$B$1002,$A128,'Movements'!$E$3:$E$1002,"Transfer",'Movements'!$G$3:$G$1002,$C128))</f>
        <v/>
      </c>
      <c r="G128" s="15">
        <f>IF($A128="","",'Items'!$I128)</f>
        <v/>
      </c>
      <c r="H128" s="8">
        <f>IF(OR($A128="",$G128=""),"",IF($F128&lt;$G128,"Below minimum","OK"))</f>
        <v/>
      </c>
      <c r="I128" s="18">
        <f>IF($A128="","",IF(SUMPRODUCT(SMALL(('Batches'!$A$3:$A$302=$A128)*('Batches'!$G$3:$G$302=$C128)*('Batches'!$D$3:$D$302&gt;0)*('Batches'!$H$3:$H$302&gt;0)*'Batches'!$D$3:$D$302+(1-('Batches'!$A$3:$A$302=$A128)*('Batches'!$G$3:$G$302=$C128)*('Batches'!$D$3:$D$302&gt;0)*('Batches'!$H$3:$H$302&gt;0))*100000,1))&gt;=100000,"",SUMPRODUCT(SMALL(('Batches'!$A$3:$A$302=$A128)*('Batches'!$G$3:$G$302=$C128)*('Batches'!$D$3:$D$302&gt;0)*('Batches'!$H$3:$H$302&gt;0)*'Batches'!$D$3:$D$302+(1-('Batches'!$A$3:$A$302=$A128)*('Batches'!$G$3:$G$302=$C128)*('Batches'!$D$3:$D$302&gt;0)*('Batches'!$H$3:$H$302&gt;0))*100000,1))))</f>
        <v/>
      </c>
      <c r="J128" s="16">
        <f>IF($A128="","",SUMIFS('Batches'!$H$3:$H$302,'Batches'!$A$3:$A$302,$A128,'Batches'!$G$3:$G$302,$C128,'Batches'!$D$3:$D$302,"&gt;0",'Batches'!$D$3:$D$302,"&lt;="&amp;('Settings'!$B$6+'Settings'!$B$7)))</f>
        <v/>
      </c>
      <c r="K128" s="19">
        <f>IF($A128="","",'Items'!$F128)</f>
        <v/>
      </c>
      <c r="L128" s="19">
        <f>IF($A128="","",$F128*$K128)</f>
        <v/>
      </c>
      <c r="M128" s="16">
        <f>IF($A128="","",IF(AND($H128="Below minimum",OR('Order list'!$B$4="",$D128='Order list'!$B$4)),IFERROR(MATCH($D128,Suppliers,0),99)*10000+ROW(),""))</f>
        <v/>
      </c>
    </row>
    <row r="129">
      <c r="A129" s="8">
        <f>IF('Items'!$A129="","",'Items'!$A129)</f>
        <v/>
      </c>
      <c r="B129" s="8">
        <f>IF($A129="","",'Items'!$B129)</f>
        <v/>
      </c>
      <c r="C129" s="8">
        <f>IF($A129="","",'Items'!$K129)</f>
        <v/>
      </c>
      <c r="D129" s="8">
        <f>IF($A129="","",'Items'!$E129)</f>
        <v/>
      </c>
      <c r="E129" s="8">
        <f>IF($A129="","",'Items'!$D129)</f>
        <v/>
      </c>
      <c r="F129" s="16">
        <f>IF($A129="","",SUMIFS('Batches'!$E$3:$E$302,'Batches'!$A$3:$A$302,$A129,'Batches'!$G$3:$G$302,$C129)+SUMIFS('Movements'!$F$3:$F$1002,'Movements'!$B$3:$B$1002,$A129,'Movements'!$E$3:$E$1002,"In",'Movements'!$H$3:$H$1002,$C129)-SUMIFS('Movements'!$F$3:$F$1002,'Movements'!$B$3:$B$1002,$A129,'Movements'!$E$3:$E$1002,"Out",'Movements'!$G$3:$G$1002,$C129)-SUMIFS('Movements'!$F$3:$F$1002,'Movements'!$B$3:$B$1002,$A129,'Movements'!$E$3:$E$1002,"Waste",'Movements'!$G$3:$G$1002,$C129)+SUMIFS('Movements'!$F$3:$F$1002,'Movements'!$B$3:$B$1002,$A129,'Movements'!$E$3:$E$1002,"Transfer",'Movements'!$H$3:$H$1002,$C129)-SUMIFS('Movements'!$F$3:$F$1002,'Movements'!$B$3:$B$1002,$A129,'Movements'!$E$3:$E$1002,"Transfer",'Movements'!$G$3:$G$1002,$C129))</f>
        <v/>
      </c>
      <c r="G129" s="15">
        <f>IF($A129="","",'Items'!$I129)</f>
        <v/>
      </c>
      <c r="H129" s="8">
        <f>IF(OR($A129="",$G129=""),"",IF($F129&lt;$G129,"Below minimum","OK"))</f>
        <v/>
      </c>
      <c r="I129" s="18">
        <f>IF($A129="","",IF(SUMPRODUCT(SMALL(('Batches'!$A$3:$A$302=$A129)*('Batches'!$G$3:$G$302=$C129)*('Batches'!$D$3:$D$302&gt;0)*('Batches'!$H$3:$H$302&gt;0)*'Batches'!$D$3:$D$302+(1-('Batches'!$A$3:$A$302=$A129)*('Batches'!$G$3:$G$302=$C129)*('Batches'!$D$3:$D$302&gt;0)*('Batches'!$H$3:$H$302&gt;0))*100000,1))&gt;=100000,"",SUMPRODUCT(SMALL(('Batches'!$A$3:$A$302=$A129)*('Batches'!$G$3:$G$302=$C129)*('Batches'!$D$3:$D$302&gt;0)*('Batches'!$H$3:$H$302&gt;0)*'Batches'!$D$3:$D$302+(1-('Batches'!$A$3:$A$302=$A129)*('Batches'!$G$3:$G$302=$C129)*('Batches'!$D$3:$D$302&gt;0)*('Batches'!$H$3:$H$302&gt;0))*100000,1))))</f>
        <v/>
      </c>
      <c r="J129" s="16">
        <f>IF($A129="","",SUMIFS('Batches'!$H$3:$H$302,'Batches'!$A$3:$A$302,$A129,'Batches'!$G$3:$G$302,$C129,'Batches'!$D$3:$D$302,"&gt;0",'Batches'!$D$3:$D$302,"&lt;="&amp;('Settings'!$B$6+'Settings'!$B$7)))</f>
        <v/>
      </c>
      <c r="K129" s="19">
        <f>IF($A129="","",'Items'!$F129)</f>
        <v/>
      </c>
      <c r="L129" s="19">
        <f>IF($A129="","",$F129*$K129)</f>
        <v/>
      </c>
      <c r="M129" s="16">
        <f>IF($A129="","",IF(AND($H129="Below minimum",OR('Order list'!$B$4="",$D129='Order list'!$B$4)),IFERROR(MATCH($D129,Suppliers,0),99)*10000+ROW(),""))</f>
        <v/>
      </c>
    </row>
    <row r="130">
      <c r="A130" s="8">
        <f>IF('Items'!$A130="","",'Items'!$A130)</f>
        <v/>
      </c>
      <c r="B130" s="8">
        <f>IF($A130="","",'Items'!$B130)</f>
        <v/>
      </c>
      <c r="C130" s="8">
        <f>IF($A130="","",'Items'!$K130)</f>
        <v/>
      </c>
      <c r="D130" s="8">
        <f>IF($A130="","",'Items'!$E130)</f>
        <v/>
      </c>
      <c r="E130" s="8">
        <f>IF($A130="","",'Items'!$D130)</f>
        <v/>
      </c>
      <c r="F130" s="16">
        <f>IF($A130="","",SUMIFS('Batches'!$E$3:$E$302,'Batches'!$A$3:$A$302,$A130,'Batches'!$G$3:$G$302,$C130)+SUMIFS('Movements'!$F$3:$F$1002,'Movements'!$B$3:$B$1002,$A130,'Movements'!$E$3:$E$1002,"In",'Movements'!$H$3:$H$1002,$C130)-SUMIFS('Movements'!$F$3:$F$1002,'Movements'!$B$3:$B$1002,$A130,'Movements'!$E$3:$E$1002,"Out",'Movements'!$G$3:$G$1002,$C130)-SUMIFS('Movements'!$F$3:$F$1002,'Movements'!$B$3:$B$1002,$A130,'Movements'!$E$3:$E$1002,"Waste",'Movements'!$G$3:$G$1002,$C130)+SUMIFS('Movements'!$F$3:$F$1002,'Movements'!$B$3:$B$1002,$A130,'Movements'!$E$3:$E$1002,"Transfer",'Movements'!$H$3:$H$1002,$C130)-SUMIFS('Movements'!$F$3:$F$1002,'Movements'!$B$3:$B$1002,$A130,'Movements'!$E$3:$E$1002,"Transfer",'Movements'!$G$3:$G$1002,$C130))</f>
        <v/>
      </c>
      <c r="G130" s="15">
        <f>IF($A130="","",'Items'!$I130)</f>
        <v/>
      </c>
      <c r="H130" s="8">
        <f>IF(OR($A130="",$G130=""),"",IF($F130&lt;$G130,"Below minimum","OK"))</f>
        <v/>
      </c>
      <c r="I130" s="18">
        <f>IF($A130="","",IF(SUMPRODUCT(SMALL(('Batches'!$A$3:$A$302=$A130)*('Batches'!$G$3:$G$302=$C130)*('Batches'!$D$3:$D$302&gt;0)*('Batches'!$H$3:$H$302&gt;0)*'Batches'!$D$3:$D$302+(1-('Batches'!$A$3:$A$302=$A130)*('Batches'!$G$3:$G$302=$C130)*('Batches'!$D$3:$D$302&gt;0)*('Batches'!$H$3:$H$302&gt;0))*100000,1))&gt;=100000,"",SUMPRODUCT(SMALL(('Batches'!$A$3:$A$302=$A130)*('Batches'!$G$3:$G$302=$C130)*('Batches'!$D$3:$D$302&gt;0)*('Batches'!$H$3:$H$302&gt;0)*'Batches'!$D$3:$D$302+(1-('Batches'!$A$3:$A$302=$A130)*('Batches'!$G$3:$G$302=$C130)*('Batches'!$D$3:$D$302&gt;0)*('Batches'!$H$3:$H$302&gt;0))*100000,1))))</f>
        <v/>
      </c>
      <c r="J130" s="16">
        <f>IF($A130="","",SUMIFS('Batches'!$H$3:$H$302,'Batches'!$A$3:$A$302,$A130,'Batches'!$G$3:$G$302,$C130,'Batches'!$D$3:$D$302,"&gt;0",'Batches'!$D$3:$D$302,"&lt;="&amp;('Settings'!$B$6+'Settings'!$B$7)))</f>
        <v/>
      </c>
      <c r="K130" s="19">
        <f>IF($A130="","",'Items'!$F130)</f>
        <v/>
      </c>
      <c r="L130" s="19">
        <f>IF($A130="","",$F130*$K130)</f>
        <v/>
      </c>
      <c r="M130" s="16">
        <f>IF($A130="","",IF(AND($H130="Below minimum",OR('Order list'!$B$4="",$D130='Order list'!$B$4)),IFERROR(MATCH($D130,Suppliers,0),99)*10000+ROW(),""))</f>
        <v/>
      </c>
    </row>
    <row r="131">
      <c r="A131" s="8">
        <f>IF('Items'!$A131="","",'Items'!$A131)</f>
        <v/>
      </c>
      <c r="B131" s="8">
        <f>IF($A131="","",'Items'!$B131)</f>
        <v/>
      </c>
      <c r="C131" s="8">
        <f>IF($A131="","",'Items'!$K131)</f>
        <v/>
      </c>
      <c r="D131" s="8">
        <f>IF($A131="","",'Items'!$E131)</f>
        <v/>
      </c>
      <c r="E131" s="8">
        <f>IF($A131="","",'Items'!$D131)</f>
        <v/>
      </c>
      <c r="F131" s="16">
        <f>IF($A131="","",SUMIFS('Batches'!$E$3:$E$302,'Batches'!$A$3:$A$302,$A131,'Batches'!$G$3:$G$302,$C131)+SUMIFS('Movements'!$F$3:$F$1002,'Movements'!$B$3:$B$1002,$A131,'Movements'!$E$3:$E$1002,"In",'Movements'!$H$3:$H$1002,$C131)-SUMIFS('Movements'!$F$3:$F$1002,'Movements'!$B$3:$B$1002,$A131,'Movements'!$E$3:$E$1002,"Out",'Movements'!$G$3:$G$1002,$C131)-SUMIFS('Movements'!$F$3:$F$1002,'Movements'!$B$3:$B$1002,$A131,'Movements'!$E$3:$E$1002,"Waste",'Movements'!$G$3:$G$1002,$C131)+SUMIFS('Movements'!$F$3:$F$1002,'Movements'!$B$3:$B$1002,$A131,'Movements'!$E$3:$E$1002,"Transfer",'Movements'!$H$3:$H$1002,$C131)-SUMIFS('Movements'!$F$3:$F$1002,'Movements'!$B$3:$B$1002,$A131,'Movements'!$E$3:$E$1002,"Transfer",'Movements'!$G$3:$G$1002,$C131))</f>
        <v/>
      </c>
      <c r="G131" s="15">
        <f>IF($A131="","",'Items'!$I131)</f>
        <v/>
      </c>
      <c r="H131" s="8">
        <f>IF(OR($A131="",$G131=""),"",IF($F131&lt;$G131,"Below minimum","OK"))</f>
        <v/>
      </c>
      <c r="I131" s="18">
        <f>IF($A131="","",IF(SUMPRODUCT(SMALL(('Batches'!$A$3:$A$302=$A131)*('Batches'!$G$3:$G$302=$C131)*('Batches'!$D$3:$D$302&gt;0)*('Batches'!$H$3:$H$302&gt;0)*'Batches'!$D$3:$D$302+(1-('Batches'!$A$3:$A$302=$A131)*('Batches'!$G$3:$G$302=$C131)*('Batches'!$D$3:$D$302&gt;0)*('Batches'!$H$3:$H$302&gt;0))*100000,1))&gt;=100000,"",SUMPRODUCT(SMALL(('Batches'!$A$3:$A$302=$A131)*('Batches'!$G$3:$G$302=$C131)*('Batches'!$D$3:$D$302&gt;0)*('Batches'!$H$3:$H$302&gt;0)*'Batches'!$D$3:$D$302+(1-('Batches'!$A$3:$A$302=$A131)*('Batches'!$G$3:$G$302=$C131)*('Batches'!$D$3:$D$302&gt;0)*('Batches'!$H$3:$H$302&gt;0))*100000,1))))</f>
        <v/>
      </c>
      <c r="J131" s="16">
        <f>IF($A131="","",SUMIFS('Batches'!$H$3:$H$302,'Batches'!$A$3:$A$302,$A131,'Batches'!$G$3:$G$302,$C131,'Batches'!$D$3:$D$302,"&gt;0",'Batches'!$D$3:$D$302,"&lt;="&amp;('Settings'!$B$6+'Settings'!$B$7)))</f>
        <v/>
      </c>
      <c r="K131" s="19">
        <f>IF($A131="","",'Items'!$F131)</f>
        <v/>
      </c>
      <c r="L131" s="19">
        <f>IF($A131="","",$F131*$K131)</f>
        <v/>
      </c>
      <c r="M131" s="16">
        <f>IF($A131="","",IF(AND($H131="Below minimum",OR('Order list'!$B$4="",$D131='Order list'!$B$4)),IFERROR(MATCH($D131,Suppliers,0),99)*10000+ROW(),""))</f>
        <v/>
      </c>
    </row>
    <row r="132">
      <c r="A132" s="8">
        <f>IF('Items'!$A132="","",'Items'!$A132)</f>
        <v/>
      </c>
      <c r="B132" s="8">
        <f>IF($A132="","",'Items'!$B132)</f>
        <v/>
      </c>
      <c r="C132" s="8">
        <f>IF($A132="","",'Items'!$K132)</f>
        <v/>
      </c>
      <c r="D132" s="8">
        <f>IF($A132="","",'Items'!$E132)</f>
        <v/>
      </c>
      <c r="E132" s="8">
        <f>IF($A132="","",'Items'!$D132)</f>
        <v/>
      </c>
      <c r="F132" s="16">
        <f>IF($A132="","",SUMIFS('Batches'!$E$3:$E$302,'Batches'!$A$3:$A$302,$A132,'Batches'!$G$3:$G$302,$C132)+SUMIFS('Movements'!$F$3:$F$1002,'Movements'!$B$3:$B$1002,$A132,'Movements'!$E$3:$E$1002,"In",'Movements'!$H$3:$H$1002,$C132)-SUMIFS('Movements'!$F$3:$F$1002,'Movements'!$B$3:$B$1002,$A132,'Movements'!$E$3:$E$1002,"Out",'Movements'!$G$3:$G$1002,$C132)-SUMIFS('Movements'!$F$3:$F$1002,'Movements'!$B$3:$B$1002,$A132,'Movements'!$E$3:$E$1002,"Waste",'Movements'!$G$3:$G$1002,$C132)+SUMIFS('Movements'!$F$3:$F$1002,'Movements'!$B$3:$B$1002,$A132,'Movements'!$E$3:$E$1002,"Transfer",'Movements'!$H$3:$H$1002,$C132)-SUMIFS('Movements'!$F$3:$F$1002,'Movements'!$B$3:$B$1002,$A132,'Movements'!$E$3:$E$1002,"Transfer",'Movements'!$G$3:$G$1002,$C132))</f>
        <v/>
      </c>
      <c r="G132" s="15">
        <f>IF($A132="","",'Items'!$I132)</f>
        <v/>
      </c>
      <c r="H132" s="8">
        <f>IF(OR($A132="",$G132=""),"",IF($F132&lt;$G132,"Below minimum","OK"))</f>
        <v/>
      </c>
      <c r="I132" s="18">
        <f>IF($A132="","",IF(SUMPRODUCT(SMALL(('Batches'!$A$3:$A$302=$A132)*('Batches'!$G$3:$G$302=$C132)*('Batches'!$D$3:$D$302&gt;0)*('Batches'!$H$3:$H$302&gt;0)*'Batches'!$D$3:$D$302+(1-('Batches'!$A$3:$A$302=$A132)*('Batches'!$G$3:$G$302=$C132)*('Batches'!$D$3:$D$302&gt;0)*('Batches'!$H$3:$H$302&gt;0))*100000,1))&gt;=100000,"",SUMPRODUCT(SMALL(('Batches'!$A$3:$A$302=$A132)*('Batches'!$G$3:$G$302=$C132)*('Batches'!$D$3:$D$302&gt;0)*('Batches'!$H$3:$H$302&gt;0)*'Batches'!$D$3:$D$302+(1-('Batches'!$A$3:$A$302=$A132)*('Batches'!$G$3:$G$302=$C132)*('Batches'!$D$3:$D$302&gt;0)*('Batches'!$H$3:$H$302&gt;0))*100000,1))))</f>
        <v/>
      </c>
      <c r="J132" s="16">
        <f>IF($A132="","",SUMIFS('Batches'!$H$3:$H$302,'Batches'!$A$3:$A$302,$A132,'Batches'!$G$3:$G$302,$C132,'Batches'!$D$3:$D$302,"&gt;0",'Batches'!$D$3:$D$302,"&lt;="&amp;('Settings'!$B$6+'Settings'!$B$7)))</f>
        <v/>
      </c>
      <c r="K132" s="19">
        <f>IF($A132="","",'Items'!$F132)</f>
        <v/>
      </c>
      <c r="L132" s="19">
        <f>IF($A132="","",$F132*$K132)</f>
        <v/>
      </c>
      <c r="M132" s="16">
        <f>IF($A132="","",IF(AND($H132="Below minimum",OR('Order list'!$B$4="",$D132='Order list'!$B$4)),IFERROR(MATCH($D132,Suppliers,0),99)*10000+ROW(),""))</f>
        <v/>
      </c>
    </row>
    <row r="133">
      <c r="A133" s="8">
        <f>IF('Items'!$A133="","",'Items'!$A133)</f>
        <v/>
      </c>
      <c r="B133" s="8">
        <f>IF($A133="","",'Items'!$B133)</f>
        <v/>
      </c>
      <c r="C133" s="8">
        <f>IF($A133="","",'Items'!$K133)</f>
        <v/>
      </c>
      <c r="D133" s="8">
        <f>IF($A133="","",'Items'!$E133)</f>
        <v/>
      </c>
      <c r="E133" s="8">
        <f>IF($A133="","",'Items'!$D133)</f>
        <v/>
      </c>
      <c r="F133" s="16">
        <f>IF($A133="","",SUMIFS('Batches'!$E$3:$E$302,'Batches'!$A$3:$A$302,$A133,'Batches'!$G$3:$G$302,$C133)+SUMIFS('Movements'!$F$3:$F$1002,'Movements'!$B$3:$B$1002,$A133,'Movements'!$E$3:$E$1002,"In",'Movements'!$H$3:$H$1002,$C133)-SUMIFS('Movements'!$F$3:$F$1002,'Movements'!$B$3:$B$1002,$A133,'Movements'!$E$3:$E$1002,"Out",'Movements'!$G$3:$G$1002,$C133)-SUMIFS('Movements'!$F$3:$F$1002,'Movements'!$B$3:$B$1002,$A133,'Movements'!$E$3:$E$1002,"Waste",'Movements'!$G$3:$G$1002,$C133)+SUMIFS('Movements'!$F$3:$F$1002,'Movements'!$B$3:$B$1002,$A133,'Movements'!$E$3:$E$1002,"Transfer",'Movements'!$H$3:$H$1002,$C133)-SUMIFS('Movements'!$F$3:$F$1002,'Movements'!$B$3:$B$1002,$A133,'Movements'!$E$3:$E$1002,"Transfer",'Movements'!$G$3:$G$1002,$C133))</f>
        <v/>
      </c>
      <c r="G133" s="15">
        <f>IF($A133="","",'Items'!$I133)</f>
        <v/>
      </c>
      <c r="H133" s="8">
        <f>IF(OR($A133="",$G133=""),"",IF($F133&lt;$G133,"Below minimum","OK"))</f>
        <v/>
      </c>
      <c r="I133" s="18">
        <f>IF($A133="","",IF(SUMPRODUCT(SMALL(('Batches'!$A$3:$A$302=$A133)*('Batches'!$G$3:$G$302=$C133)*('Batches'!$D$3:$D$302&gt;0)*('Batches'!$H$3:$H$302&gt;0)*'Batches'!$D$3:$D$302+(1-('Batches'!$A$3:$A$302=$A133)*('Batches'!$G$3:$G$302=$C133)*('Batches'!$D$3:$D$302&gt;0)*('Batches'!$H$3:$H$302&gt;0))*100000,1))&gt;=100000,"",SUMPRODUCT(SMALL(('Batches'!$A$3:$A$302=$A133)*('Batches'!$G$3:$G$302=$C133)*('Batches'!$D$3:$D$302&gt;0)*('Batches'!$H$3:$H$302&gt;0)*'Batches'!$D$3:$D$302+(1-('Batches'!$A$3:$A$302=$A133)*('Batches'!$G$3:$G$302=$C133)*('Batches'!$D$3:$D$302&gt;0)*('Batches'!$H$3:$H$302&gt;0))*100000,1))))</f>
        <v/>
      </c>
      <c r="J133" s="16">
        <f>IF($A133="","",SUMIFS('Batches'!$H$3:$H$302,'Batches'!$A$3:$A$302,$A133,'Batches'!$G$3:$G$302,$C133,'Batches'!$D$3:$D$302,"&gt;0",'Batches'!$D$3:$D$302,"&lt;="&amp;('Settings'!$B$6+'Settings'!$B$7)))</f>
        <v/>
      </c>
      <c r="K133" s="19">
        <f>IF($A133="","",'Items'!$F133)</f>
        <v/>
      </c>
      <c r="L133" s="19">
        <f>IF($A133="","",$F133*$K133)</f>
        <v/>
      </c>
      <c r="M133" s="16">
        <f>IF($A133="","",IF(AND($H133="Below minimum",OR('Order list'!$B$4="",$D133='Order list'!$B$4)),IFERROR(MATCH($D133,Suppliers,0),99)*10000+ROW(),""))</f>
        <v/>
      </c>
    </row>
    <row r="134">
      <c r="A134" s="8">
        <f>IF('Items'!$A134="","",'Items'!$A134)</f>
        <v/>
      </c>
      <c r="B134" s="8">
        <f>IF($A134="","",'Items'!$B134)</f>
        <v/>
      </c>
      <c r="C134" s="8">
        <f>IF($A134="","",'Items'!$K134)</f>
        <v/>
      </c>
      <c r="D134" s="8">
        <f>IF($A134="","",'Items'!$E134)</f>
        <v/>
      </c>
      <c r="E134" s="8">
        <f>IF($A134="","",'Items'!$D134)</f>
        <v/>
      </c>
      <c r="F134" s="16">
        <f>IF($A134="","",SUMIFS('Batches'!$E$3:$E$302,'Batches'!$A$3:$A$302,$A134,'Batches'!$G$3:$G$302,$C134)+SUMIFS('Movements'!$F$3:$F$1002,'Movements'!$B$3:$B$1002,$A134,'Movements'!$E$3:$E$1002,"In",'Movements'!$H$3:$H$1002,$C134)-SUMIFS('Movements'!$F$3:$F$1002,'Movements'!$B$3:$B$1002,$A134,'Movements'!$E$3:$E$1002,"Out",'Movements'!$G$3:$G$1002,$C134)-SUMIFS('Movements'!$F$3:$F$1002,'Movements'!$B$3:$B$1002,$A134,'Movements'!$E$3:$E$1002,"Waste",'Movements'!$G$3:$G$1002,$C134)+SUMIFS('Movements'!$F$3:$F$1002,'Movements'!$B$3:$B$1002,$A134,'Movements'!$E$3:$E$1002,"Transfer",'Movements'!$H$3:$H$1002,$C134)-SUMIFS('Movements'!$F$3:$F$1002,'Movements'!$B$3:$B$1002,$A134,'Movements'!$E$3:$E$1002,"Transfer",'Movements'!$G$3:$G$1002,$C134))</f>
        <v/>
      </c>
      <c r="G134" s="15">
        <f>IF($A134="","",'Items'!$I134)</f>
        <v/>
      </c>
      <c r="H134" s="8">
        <f>IF(OR($A134="",$G134=""),"",IF($F134&lt;$G134,"Below minimum","OK"))</f>
        <v/>
      </c>
      <c r="I134" s="18">
        <f>IF($A134="","",IF(SUMPRODUCT(SMALL(('Batches'!$A$3:$A$302=$A134)*('Batches'!$G$3:$G$302=$C134)*('Batches'!$D$3:$D$302&gt;0)*('Batches'!$H$3:$H$302&gt;0)*'Batches'!$D$3:$D$302+(1-('Batches'!$A$3:$A$302=$A134)*('Batches'!$G$3:$G$302=$C134)*('Batches'!$D$3:$D$302&gt;0)*('Batches'!$H$3:$H$302&gt;0))*100000,1))&gt;=100000,"",SUMPRODUCT(SMALL(('Batches'!$A$3:$A$302=$A134)*('Batches'!$G$3:$G$302=$C134)*('Batches'!$D$3:$D$302&gt;0)*('Batches'!$H$3:$H$302&gt;0)*'Batches'!$D$3:$D$302+(1-('Batches'!$A$3:$A$302=$A134)*('Batches'!$G$3:$G$302=$C134)*('Batches'!$D$3:$D$302&gt;0)*('Batches'!$H$3:$H$302&gt;0))*100000,1))))</f>
        <v/>
      </c>
      <c r="J134" s="16">
        <f>IF($A134="","",SUMIFS('Batches'!$H$3:$H$302,'Batches'!$A$3:$A$302,$A134,'Batches'!$G$3:$G$302,$C134,'Batches'!$D$3:$D$302,"&gt;0",'Batches'!$D$3:$D$302,"&lt;="&amp;('Settings'!$B$6+'Settings'!$B$7)))</f>
        <v/>
      </c>
      <c r="K134" s="19">
        <f>IF($A134="","",'Items'!$F134)</f>
        <v/>
      </c>
      <c r="L134" s="19">
        <f>IF($A134="","",$F134*$K134)</f>
        <v/>
      </c>
      <c r="M134" s="16">
        <f>IF($A134="","",IF(AND($H134="Below minimum",OR('Order list'!$B$4="",$D134='Order list'!$B$4)),IFERROR(MATCH($D134,Suppliers,0),99)*10000+ROW(),""))</f>
        <v/>
      </c>
    </row>
    <row r="135">
      <c r="A135" s="8">
        <f>IF('Items'!$A135="","",'Items'!$A135)</f>
        <v/>
      </c>
      <c r="B135" s="8">
        <f>IF($A135="","",'Items'!$B135)</f>
        <v/>
      </c>
      <c r="C135" s="8">
        <f>IF($A135="","",'Items'!$K135)</f>
        <v/>
      </c>
      <c r="D135" s="8">
        <f>IF($A135="","",'Items'!$E135)</f>
        <v/>
      </c>
      <c r="E135" s="8">
        <f>IF($A135="","",'Items'!$D135)</f>
        <v/>
      </c>
      <c r="F135" s="16">
        <f>IF($A135="","",SUMIFS('Batches'!$E$3:$E$302,'Batches'!$A$3:$A$302,$A135,'Batches'!$G$3:$G$302,$C135)+SUMIFS('Movements'!$F$3:$F$1002,'Movements'!$B$3:$B$1002,$A135,'Movements'!$E$3:$E$1002,"In",'Movements'!$H$3:$H$1002,$C135)-SUMIFS('Movements'!$F$3:$F$1002,'Movements'!$B$3:$B$1002,$A135,'Movements'!$E$3:$E$1002,"Out",'Movements'!$G$3:$G$1002,$C135)-SUMIFS('Movements'!$F$3:$F$1002,'Movements'!$B$3:$B$1002,$A135,'Movements'!$E$3:$E$1002,"Waste",'Movements'!$G$3:$G$1002,$C135)+SUMIFS('Movements'!$F$3:$F$1002,'Movements'!$B$3:$B$1002,$A135,'Movements'!$E$3:$E$1002,"Transfer",'Movements'!$H$3:$H$1002,$C135)-SUMIFS('Movements'!$F$3:$F$1002,'Movements'!$B$3:$B$1002,$A135,'Movements'!$E$3:$E$1002,"Transfer",'Movements'!$G$3:$G$1002,$C135))</f>
        <v/>
      </c>
      <c r="G135" s="15">
        <f>IF($A135="","",'Items'!$I135)</f>
        <v/>
      </c>
      <c r="H135" s="8">
        <f>IF(OR($A135="",$G135=""),"",IF($F135&lt;$G135,"Below minimum","OK"))</f>
        <v/>
      </c>
      <c r="I135" s="18">
        <f>IF($A135="","",IF(SUMPRODUCT(SMALL(('Batches'!$A$3:$A$302=$A135)*('Batches'!$G$3:$G$302=$C135)*('Batches'!$D$3:$D$302&gt;0)*('Batches'!$H$3:$H$302&gt;0)*'Batches'!$D$3:$D$302+(1-('Batches'!$A$3:$A$302=$A135)*('Batches'!$G$3:$G$302=$C135)*('Batches'!$D$3:$D$302&gt;0)*('Batches'!$H$3:$H$302&gt;0))*100000,1))&gt;=100000,"",SUMPRODUCT(SMALL(('Batches'!$A$3:$A$302=$A135)*('Batches'!$G$3:$G$302=$C135)*('Batches'!$D$3:$D$302&gt;0)*('Batches'!$H$3:$H$302&gt;0)*'Batches'!$D$3:$D$302+(1-('Batches'!$A$3:$A$302=$A135)*('Batches'!$G$3:$G$302=$C135)*('Batches'!$D$3:$D$302&gt;0)*('Batches'!$H$3:$H$302&gt;0))*100000,1))))</f>
        <v/>
      </c>
      <c r="J135" s="16">
        <f>IF($A135="","",SUMIFS('Batches'!$H$3:$H$302,'Batches'!$A$3:$A$302,$A135,'Batches'!$G$3:$G$302,$C135,'Batches'!$D$3:$D$302,"&gt;0",'Batches'!$D$3:$D$302,"&lt;="&amp;('Settings'!$B$6+'Settings'!$B$7)))</f>
        <v/>
      </c>
      <c r="K135" s="19">
        <f>IF($A135="","",'Items'!$F135)</f>
        <v/>
      </c>
      <c r="L135" s="19">
        <f>IF($A135="","",$F135*$K135)</f>
        <v/>
      </c>
      <c r="M135" s="16">
        <f>IF($A135="","",IF(AND($H135="Below minimum",OR('Order list'!$B$4="",$D135='Order list'!$B$4)),IFERROR(MATCH($D135,Suppliers,0),99)*10000+ROW(),""))</f>
        <v/>
      </c>
    </row>
    <row r="136">
      <c r="A136" s="8">
        <f>IF('Items'!$A136="","",'Items'!$A136)</f>
        <v/>
      </c>
      <c r="B136" s="8">
        <f>IF($A136="","",'Items'!$B136)</f>
        <v/>
      </c>
      <c r="C136" s="8">
        <f>IF($A136="","",'Items'!$K136)</f>
        <v/>
      </c>
      <c r="D136" s="8">
        <f>IF($A136="","",'Items'!$E136)</f>
        <v/>
      </c>
      <c r="E136" s="8">
        <f>IF($A136="","",'Items'!$D136)</f>
        <v/>
      </c>
      <c r="F136" s="16">
        <f>IF($A136="","",SUMIFS('Batches'!$E$3:$E$302,'Batches'!$A$3:$A$302,$A136,'Batches'!$G$3:$G$302,$C136)+SUMIFS('Movements'!$F$3:$F$1002,'Movements'!$B$3:$B$1002,$A136,'Movements'!$E$3:$E$1002,"In",'Movements'!$H$3:$H$1002,$C136)-SUMIFS('Movements'!$F$3:$F$1002,'Movements'!$B$3:$B$1002,$A136,'Movements'!$E$3:$E$1002,"Out",'Movements'!$G$3:$G$1002,$C136)-SUMIFS('Movements'!$F$3:$F$1002,'Movements'!$B$3:$B$1002,$A136,'Movements'!$E$3:$E$1002,"Waste",'Movements'!$G$3:$G$1002,$C136)+SUMIFS('Movements'!$F$3:$F$1002,'Movements'!$B$3:$B$1002,$A136,'Movements'!$E$3:$E$1002,"Transfer",'Movements'!$H$3:$H$1002,$C136)-SUMIFS('Movements'!$F$3:$F$1002,'Movements'!$B$3:$B$1002,$A136,'Movements'!$E$3:$E$1002,"Transfer",'Movements'!$G$3:$G$1002,$C136))</f>
        <v/>
      </c>
      <c r="G136" s="15">
        <f>IF($A136="","",'Items'!$I136)</f>
        <v/>
      </c>
      <c r="H136" s="8">
        <f>IF(OR($A136="",$G136=""),"",IF($F136&lt;$G136,"Below minimum","OK"))</f>
        <v/>
      </c>
      <c r="I136" s="18">
        <f>IF($A136="","",IF(SUMPRODUCT(SMALL(('Batches'!$A$3:$A$302=$A136)*('Batches'!$G$3:$G$302=$C136)*('Batches'!$D$3:$D$302&gt;0)*('Batches'!$H$3:$H$302&gt;0)*'Batches'!$D$3:$D$302+(1-('Batches'!$A$3:$A$302=$A136)*('Batches'!$G$3:$G$302=$C136)*('Batches'!$D$3:$D$302&gt;0)*('Batches'!$H$3:$H$302&gt;0))*100000,1))&gt;=100000,"",SUMPRODUCT(SMALL(('Batches'!$A$3:$A$302=$A136)*('Batches'!$G$3:$G$302=$C136)*('Batches'!$D$3:$D$302&gt;0)*('Batches'!$H$3:$H$302&gt;0)*'Batches'!$D$3:$D$302+(1-('Batches'!$A$3:$A$302=$A136)*('Batches'!$G$3:$G$302=$C136)*('Batches'!$D$3:$D$302&gt;0)*('Batches'!$H$3:$H$302&gt;0))*100000,1))))</f>
        <v/>
      </c>
      <c r="J136" s="16">
        <f>IF($A136="","",SUMIFS('Batches'!$H$3:$H$302,'Batches'!$A$3:$A$302,$A136,'Batches'!$G$3:$G$302,$C136,'Batches'!$D$3:$D$302,"&gt;0",'Batches'!$D$3:$D$302,"&lt;="&amp;('Settings'!$B$6+'Settings'!$B$7)))</f>
        <v/>
      </c>
      <c r="K136" s="19">
        <f>IF($A136="","",'Items'!$F136)</f>
        <v/>
      </c>
      <c r="L136" s="19">
        <f>IF($A136="","",$F136*$K136)</f>
        <v/>
      </c>
      <c r="M136" s="16">
        <f>IF($A136="","",IF(AND($H136="Below minimum",OR('Order list'!$B$4="",$D136='Order list'!$B$4)),IFERROR(MATCH($D136,Suppliers,0),99)*10000+ROW(),""))</f>
        <v/>
      </c>
    </row>
    <row r="137">
      <c r="A137" s="8">
        <f>IF('Items'!$A137="","",'Items'!$A137)</f>
        <v/>
      </c>
      <c r="B137" s="8">
        <f>IF($A137="","",'Items'!$B137)</f>
        <v/>
      </c>
      <c r="C137" s="8">
        <f>IF($A137="","",'Items'!$K137)</f>
        <v/>
      </c>
      <c r="D137" s="8">
        <f>IF($A137="","",'Items'!$E137)</f>
        <v/>
      </c>
      <c r="E137" s="8">
        <f>IF($A137="","",'Items'!$D137)</f>
        <v/>
      </c>
      <c r="F137" s="16">
        <f>IF($A137="","",SUMIFS('Batches'!$E$3:$E$302,'Batches'!$A$3:$A$302,$A137,'Batches'!$G$3:$G$302,$C137)+SUMIFS('Movements'!$F$3:$F$1002,'Movements'!$B$3:$B$1002,$A137,'Movements'!$E$3:$E$1002,"In",'Movements'!$H$3:$H$1002,$C137)-SUMIFS('Movements'!$F$3:$F$1002,'Movements'!$B$3:$B$1002,$A137,'Movements'!$E$3:$E$1002,"Out",'Movements'!$G$3:$G$1002,$C137)-SUMIFS('Movements'!$F$3:$F$1002,'Movements'!$B$3:$B$1002,$A137,'Movements'!$E$3:$E$1002,"Waste",'Movements'!$G$3:$G$1002,$C137)+SUMIFS('Movements'!$F$3:$F$1002,'Movements'!$B$3:$B$1002,$A137,'Movements'!$E$3:$E$1002,"Transfer",'Movements'!$H$3:$H$1002,$C137)-SUMIFS('Movements'!$F$3:$F$1002,'Movements'!$B$3:$B$1002,$A137,'Movements'!$E$3:$E$1002,"Transfer",'Movements'!$G$3:$G$1002,$C137))</f>
        <v/>
      </c>
      <c r="G137" s="15">
        <f>IF($A137="","",'Items'!$I137)</f>
        <v/>
      </c>
      <c r="H137" s="8">
        <f>IF(OR($A137="",$G137=""),"",IF($F137&lt;$G137,"Below minimum","OK"))</f>
        <v/>
      </c>
      <c r="I137" s="18">
        <f>IF($A137="","",IF(SUMPRODUCT(SMALL(('Batches'!$A$3:$A$302=$A137)*('Batches'!$G$3:$G$302=$C137)*('Batches'!$D$3:$D$302&gt;0)*('Batches'!$H$3:$H$302&gt;0)*'Batches'!$D$3:$D$302+(1-('Batches'!$A$3:$A$302=$A137)*('Batches'!$G$3:$G$302=$C137)*('Batches'!$D$3:$D$302&gt;0)*('Batches'!$H$3:$H$302&gt;0))*100000,1))&gt;=100000,"",SUMPRODUCT(SMALL(('Batches'!$A$3:$A$302=$A137)*('Batches'!$G$3:$G$302=$C137)*('Batches'!$D$3:$D$302&gt;0)*('Batches'!$H$3:$H$302&gt;0)*'Batches'!$D$3:$D$302+(1-('Batches'!$A$3:$A$302=$A137)*('Batches'!$G$3:$G$302=$C137)*('Batches'!$D$3:$D$302&gt;0)*('Batches'!$H$3:$H$302&gt;0))*100000,1))))</f>
        <v/>
      </c>
      <c r="J137" s="16">
        <f>IF($A137="","",SUMIFS('Batches'!$H$3:$H$302,'Batches'!$A$3:$A$302,$A137,'Batches'!$G$3:$G$302,$C137,'Batches'!$D$3:$D$302,"&gt;0",'Batches'!$D$3:$D$302,"&lt;="&amp;('Settings'!$B$6+'Settings'!$B$7)))</f>
        <v/>
      </c>
      <c r="K137" s="19">
        <f>IF($A137="","",'Items'!$F137)</f>
        <v/>
      </c>
      <c r="L137" s="19">
        <f>IF($A137="","",$F137*$K137)</f>
        <v/>
      </c>
      <c r="M137" s="16">
        <f>IF($A137="","",IF(AND($H137="Below minimum",OR('Order list'!$B$4="",$D137='Order list'!$B$4)),IFERROR(MATCH($D137,Suppliers,0),99)*10000+ROW(),""))</f>
        <v/>
      </c>
    </row>
    <row r="138">
      <c r="A138" s="8">
        <f>IF('Items'!$A138="","",'Items'!$A138)</f>
        <v/>
      </c>
      <c r="B138" s="8">
        <f>IF($A138="","",'Items'!$B138)</f>
        <v/>
      </c>
      <c r="C138" s="8">
        <f>IF($A138="","",'Items'!$K138)</f>
        <v/>
      </c>
      <c r="D138" s="8">
        <f>IF($A138="","",'Items'!$E138)</f>
        <v/>
      </c>
      <c r="E138" s="8">
        <f>IF($A138="","",'Items'!$D138)</f>
        <v/>
      </c>
      <c r="F138" s="16">
        <f>IF($A138="","",SUMIFS('Batches'!$E$3:$E$302,'Batches'!$A$3:$A$302,$A138,'Batches'!$G$3:$G$302,$C138)+SUMIFS('Movements'!$F$3:$F$1002,'Movements'!$B$3:$B$1002,$A138,'Movements'!$E$3:$E$1002,"In",'Movements'!$H$3:$H$1002,$C138)-SUMIFS('Movements'!$F$3:$F$1002,'Movements'!$B$3:$B$1002,$A138,'Movements'!$E$3:$E$1002,"Out",'Movements'!$G$3:$G$1002,$C138)-SUMIFS('Movements'!$F$3:$F$1002,'Movements'!$B$3:$B$1002,$A138,'Movements'!$E$3:$E$1002,"Waste",'Movements'!$G$3:$G$1002,$C138)+SUMIFS('Movements'!$F$3:$F$1002,'Movements'!$B$3:$B$1002,$A138,'Movements'!$E$3:$E$1002,"Transfer",'Movements'!$H$3:$H$1002,$C138)-SUMIFS('Movements'!$F$3:$F$1002,'Movements'!$B$3:$B$1002,$A138,'Movements'!$E$3:$E$1002,"Transfer",'Movements'!$G$3:$G$1002,$C138))</f>
        <v/>
      </c>
      <c r="G138" s="15">
        <f>IF($A138="","",'Items'!$I138)</f>
        <v/>
      </c>
      <c r="H138" s="8">
        <f>IF(OR($A138="",$G138=""),"",IF($F138&lt;$G138,"Below minimum","OK"))</f>
        <v/>
      </c>
      <c r="I138" s="18">
        <f>IF($A138="","",IF(SUMPRODUCT(SMALL(('Batches'!$A$3:$A$302=$A138)*('Batches'!$G$3:$G$302=$C138)*('Batches'!$D$3:$D$302&gt;0)*('Batches'!$H$3:$H$302&gt;0)*'Batches'!$D$3:$D$302+(1-('Batches'!$A$3:$A$302=$A138)*('Batches'!$G$3:$G$302=$C138)*('Batches'!$D$3:$D$302&gt;0)*('Batches'!$H$3:$H$302&gt;0))*100000,1))&gt;=100000,"",SUMPRODUCT(SMALL(('Batches'!$A$3:$A$302=$A138)*('Batches'!$G$3:$G$302=$C138)*('Batches'!$D$3:$D$302&gt;0)*('Batches'!$H$3:$H$302&gt;0)*'Batches'!$D$3:$D$302+(1-('Batches'!$A$3:$A$302=$A138)*('Batches'!$G$3:$G$302=$C138)*('Batches'!$D$3:$D$302&gt;0)*('Batches'!$H$3:$H$302&gt;0))*100000,1))))</f>
        <v/>
      </c>
      <c r="J138" s="16">
        <f>IF($A138="","",SUMIFS('Batches'!$H$3:$H$302,'Batches'!$A$3:$A$302,$A138,'Batches'!$G$3:$G$302,$C138,'Batches'!$D$3:$D$302,"&gt;0",'Batches'!$D$3:$D$302,"&lt;="&amp;('Settings'!$B$6+'Settings'!$B$7)))</f>
        <v/>
      </c>
      <c r="K138" s="19">
        <f>IF($A138="","",'Items'!$F138)</f>
        <v/>
      </c>
      <c r="L138" s="19">
        <f>IF($A138="","",$F138*$K138)</f>
        <v/>
      </c>
      <c r="M138" s="16">
        <f>IF($A138="","",IF(AND($H138="Below minimum",OR('Order list'!$B$4="",$D138='Order list'!$B$4)),IFERROR(MATCH($D138,Suppliers,0),99)*10000+ROW(),""))</f>
        <v/>
      </c>
    </row>
    <row r="139">
      <c r="A139" s="8">
        <f>IF('Items'!$A139="","",'Items'!$A139)</f>
        <v/>
      </c>
      <c r="B139" s="8">
        <f>IF($A139="","",'Items'!$B139)</f>
        <v/>
      </c>
      <c r="C139" s="8">
        <f>IF($A139="","",'Items'!$K139)</f>
        <v/>
      </c>
      <c r="D139" s="8">
        <f>IF($A139="","",'Items'!$E139)</f>
        <v/>
      </c>
      <c r="E139" s="8">
        <f>IF($A139="","",'Items'!$D139)</f>
        <v/>
      </c>
      <c r="F139" s="16">
        <f>IF($A139="","",SUMIFS('Batches'!$E$3:$E$302,'Batches'!$A$3:$A$302,$A139,'Batches'!$G$3:$G$302,$C139)+SUMIFS('Movements'!$F$3:$F$1002,'Movements'!$B$3:$B$1002,$A139,'Movements'!$E$3:$E$1002,"In",'Movements'!$H$3:$H$1002,$C139)-SUMIFS('Movements'!$F$3:$F$1002,'Movements'!$B$3:$B$1002,$A139,'Movements'!$E$3:$E$1002,"Out",'Movements'!$G$3:$G$1002,$C139)-SUMIFS('Movements'!$F$3:$F$1002,'Movements'!$B$3:$B$1002,$A139,'Movements'!$E$3:$E$1002,"Waste",'Movements'!$G$3:$G$1002,$C139)+SUMIFS('Movements'!$F$3:$F$1002,'Movements'!$B$3:$B$1002,$A139,'Movements'!$E$3:$E$1002,"Transfer",'Movements'!$H$3:$H$1002,$C139)-SUMIFS('Movements'!$F$3:$F$1002,'Movements'!$B$3:$B$1002,$A139,'Movements'!$E$3:$E$1002,"Transfer",'Movements'!$G$3:$G$1002,$C139))</f>
        <v/>
      </c>
      <c r="G139" s="15">
        <f>IF($A139="","",'Items'!$I139)</f>
        <v/>
      </c>
      <c r="H139" s="8">
        <f>IF(OR($A139="",$G139=""),"",IF($F139&lt;$G139,"Below minimum","OK"))</f>
        <v/>
      </c>
      <c r="I139" s="18">
        <f>IF($A139="","",IF(SUMPRODUCT(SMALL(('Batches'!$A$3:$A$302=$A139)*('Batches'!$G$3:$G$302=$C139)*('Batches'!$D$3:$D$302&gt;0)*('Batches'!$H$3:$H$302&gt;0)*'Batches'!$D$3:$D$302+(1-('Batches'!$A$3:$A$302=$A139)*('Batches'!$G$3:$G$302=$C139)*('Batches'!$D$3:$D$302&gt;0)*('Batches'!$H$3:$H$302&gt;0))*100000,1))&gt;=100000,"",SUMPRODUCT(SMALL(('Batches'!$A$3:$A$302=$A139)*('Batches'!$G$3:$G$302=$C139)*('Batches'!$D$3:$D$302&gt;0)*('Batches'!$H$3:$H$302&gt;0)*'Batches'!$D$3:$D$302+(1-('Batches'!$A$3:$A$302=$A139)*('Batches'!$G$3:$G$302=$C139)*('Batches'!$D$3:$D$302&gt;0)*('Batches'!$H$3:$H$302&gt;0))*100000,1))))</f>
        <v/>
      </c>
      <c r="J139" s="16">
        <f>IF($A139="","",SUMIFS('Batches'!$H$3:$H$302,'Batches'!$A$3:$A$302,$A139,'Batches'!$G$3:$G$302,$C139,'Batches'!$D$3:$D$302,"&gt;0",'Batches'!$D$3:$D$302,"&lt;="&amp;('Settings'!$B$6+'Settings'!$B$7)))</f>
        <v/>
      </c>
      <c r="K139" s="19">
        <f>IF($A139="","",'Items'!$F139)</f>
        <v/>
      </c>
      <c r="L139" s="19">
        <f>IF($A139="","",$F139*$K139)</f>
        <v/>
      </c>
      <c r="M139" s="16">
        <f>IF($A139="","",IF(AND($H139="Below minimum",OR('Order list'!$B$4="",$D139='Order list'!$B$4)),IFERROR(MATCH($D139,Suppliers,0),99)*10000+ROW(),""))</f>
        <v/>
      </c>
    </row>
    <row r="140">
      <c r="A140" s="8">
        <f>IF('Items'!$A140="","",'Items'!$A140)</f>
        <v/>
      </c>
      <c r="B140" s="8">
        <f>IF($A140="","",'Items'!$B140)</f>
        <v/>
      </c>
      <c r="C140" s="8">
        <f>IF($A140="","",'Items'!$K140)</f>
        <v/>
      </c>
      <c r="D140" s="8">
        <f>IF($A140="","",'Items'!$E140)</f>
        <v/>
      </c>
      <c r="E140" s="8">
        <f>IF($A140="","",'Items'!$D140)</f>
        <v/>
      </c>
      <c r="F140" s="16">
        <f>IF($A140="","",SUMIFS('Batches'!$E$3:$E$302,'Batches'!$A$3:$A$302,$A140,'Batches'!$G$3:$G$302,$C140)+SUMIFS('Movements'!$F$3:$F$1002,'Movements'!$B$3:$B$1002,$A140,'Movements'!$E$3:$E$1002,"In",'Movements'!$H$3:$H$1002,$C140)-SUMIFS('Movements'!$F$3:$F$1002,'Movements'!$B$3:$B$1002,$A140,'Movements'!$E$3:$E$1002,"Out",'Movements'!$G$3:$G$1002,$C140)-SUMIFS('Movements'!$F$3:$F$1002,'Movements'!$B$3:$B$1002,$A140,'Movements'!$E$3:$E$1002,"Waste",'Movements'!$G$3:$G$1002,$C140)+SUMIFS('Movements'!$F$3:$F$1002,'Movements'!$B$3:$B$1002,$A140,'Movements'!$E$3:$E$1002,"Transfer",'Movements'!$H$3:$H$1002,$C140)-SUMIFS('Movements'!$F$3:$F$1002,'Movements'!$B$3:$B$1002,$A140,'Movements'!$E$3:$E$1002,"Transfer",'Movements'!$G$3:$G$1002,$C140))</f>
        <v/>
      </c>
      <c r="G140" s="15">
        <f>IF($A140="","",'Items'!$I140)</f>
        <v/>
      </c>
      <c r="H140" s="8">
        <f>IF(OR($A140="",$G140=""),"",IF($F140&lt;$G140,"Below minimum","OK"))</f>
        <v/>
      </c>
      <c r="I140" s="18">
        <f>IF($A140="","",IF(SUMPRODUCT(SMALL(('Batches'!$A$3:$A$302=$A140)*('Batches'!$G$3:$G$302=$C140)*('Batches'!$D$3:$D$302&gt;0)*('Batches'!$H$3:$H$302&gt;0)*'Batches'!$D$3:$D$302+(1-('Batches'!$A$3:$A$302=$A140)*('Batches'!$G$3:$G$302=$C140)*('Batches'!$D$3:$D$302&gt;0)*('Batches'!$H$3:$H$302&gt;0))*100000,1))&gt;=100000,"",SUMPRODUCT(SMALL(('Batches'!$A$3:$A$302=$A140)*('Batches'!$G$3:$G$302=$C140)*('Batches'!$D$3:$D$302&gt;0)*('Batches'!$H$3:$H$302&gt;0)*'Batches'!$D$3:$D$302+(1-('Batches'!$A$3:$A$302=$A140)*('Batches'!$G$3:$G$302=$C140)*('Batches'!$D$3:$D$302&gt;0)*('Batches'!$H$3:$H$302&gt;0))*100000,1))))</f>
        <v/>
      </c>
      <c r="J140" s="16">
        <f>IF($A140="","",SUMIFS('Batches'!$H$3:$H$302,'Batches'!$A$3:$A$302,$A140,'Batches'!$G$3:$G$302,$C140,'Batches'!$D$3:$D$302,"&gt;0",'Batches'!$D$3:$D$302,"&lt;="&amp;('Settings'!$B$6+'Settings'!$B$7)))</f>
        <v/>
      </c>
      <c r="K140" s="19">
        <f>IF($A140="","",'Items'!$F140)</f>
        <v/>
      </c>
      <c r="L140" s="19">
        <f>IF($A140="","",$F140*$K140)</f>
        <v/>
      </c>
      <c r="M140" s="16">
        <f>IF($A140="","",IF(AND($H140="Below minimum",OR('Order list'!$B$4="",$D140='Order list'!$B$4)),IFERROR(MATCH($D140,Suppliers,0),99)*10000+ROW(),""))</f>
        <v/>
      </c>
    </row>
    <row r="141">
      <c r="A141" s="8">
        <f>IF('Items'!$A141="","",'Items'!$A141)</f>
        <v/>
      </c>
      <c r="B141" s="8">
        <f>IF($A141="","",'Items'!$B141)</f>
        <v/>
      </c>
      <c r="C141" s="8">
        <f>IF($A141="","",'Items'!$K141)</f>
        <v/>
      </c>
      <c r="D141" s="8">
        <f>IF($A141="","",'Items'!$E141)</f>
        <v/>
      </c>
      <c r="E141" s="8">
        <f>IF($A141="","",'Items'!$D141)</f>
        <v/>
      </c>
      <c r="F141" s="16">
        <f>IF($A141="","",SUMIFS('Batches'!$E$3:$E$302,'Batches'!$A$3:$A$302,$A141,'Batches'!$G$3:$G$302,$C141)+SUMIFS('Movements'!$F$3:$F$1002,'Movements'!$B$3:$B$1002,$A141,'Movements'!$E$3:$E$1002,"In",'Movements'!$H$3:$H$1002,$C141)-SUMIFS('Movements'!$F$3:$F$1002,'Movements'!$B$3:$B$1002,$A141,'Movements'!$E$3:$E$1002,"Out",'Movements'!$G$3:$G$1002,$C141)-SUMIFS('Movements'!$F$3:$F$1002,'Movements'!$B$3:$B$1002,$A141,'Movements'!$E$3:$E$1002,"Waste",'Movements'!$G$3:$G$1002,$C141)+SUMIFS('Movements'!$F$3:$F$1002,'Movements'!$B$3:$B$1002,$A141,'Movements'!$E$3:$E$1002,"Transfer",'Movements'!$H$3:$H$1002,$C141)-SUMIFS('Movements'!$F$3:$F$1002,'Movements'!$B$3:$B$1002,$A141,'Movements'!$E$3:$E$1002,"Transfer",'Movements'!$G$3:$G$1002,$C141))</f>
        <v/>
      </c>
      <c r="G141" s="15">
        <f>IF($A141="","",'Items'!$I141)</f>
        <v/>
      </c>
      <c r="H141" s="8">
        <f>IF(OR($A141="",$G141=""),"",IF($F141&lt;$G141,"Below minimum","OK"))</f>
        <v/>
      </c>
      <c r="I141" s="18">
        <f>IF($A141="","",IF(SUMPRODUCT(SMALL(('Batches'!$A$3:$A$302=$A141)*('Batches'!$G$3:$G$302=$C141)*('Batches'!$D$3:$D$302&gt;0)*('Batches'!$H$3:$H$302&gt;0)*'Batches'!$D$3:$D$302+(1-('Batches'!$A$3:$A$302=$A141)*('Batches'!$G$3:$G$302=$C141)*('Batches'!$D$3:$D$302&gt;0)*('Batches'!$H$3:$H$302&gt;0))*100000,1))&gt;=100000,"",SUMPRODUCT(SMALL(('Batches'!$A$3:$A$302=$A141)*('Batches'!$G$3:$G$302=$C141)*('Batches'!$D$3:$D$302&gt;0)*('Batches'!$H$3:$H$302&gt;0)*'Batches'!$D$3:$D$302+(1-('Batches'!$A$3:$A$302=$A141)*('Batches'!$G$3:$G$302=$C141)*('Batches'!$D$3:$D$302&gt;0)*('Batches'!$H$3:$H$302&gt;0))*100000,1))))</f>
        <v/>
      </c>
      <c r="J141" s="16">
        <f>IF($A141="","",SUMIFS('Batches'!$H$3:$H$302,'Batches'!$A$3:$A$302,$A141,'Batches'!$G$3:$G$302,$C141,'Batches'!$D$3:$D$302,"&gt;0",'Batches'!$D$3:$D$302,"&lt;="&amp;('Settings'!$B$6+'Settings'!$B$7)))</f>
        <v/>
      </c>
      <c r="K141" s="19">
        <f>IF($A141="","",'Items'!$F141)</f>
        <v/>
      </c>
      <c r="L141" s="19">
        <f>IF($A141="","",$F141*$K141)</f>
        <v/>
      </c>
      <c r="M141" s="16">
        <f>IF($A141="","",IF(AND($H141="Below minimum",OR('Order list'!$B$4="",$D141='Order list'!$B$4)),IFERROR(MATCH($D141,Suppliers,0),99)*10000+ROW(),""))</f>
        <v/>
      </c>
    </row>
    <row r="142">
      <c r="A142" s="8">
        <f>IF('Items'!$A142="","",'Items'!$A142)</f>
        <v/>
      </c>
      <c r="B142" s="8">
        <f>IF($A142="","",'Items'!$B142)</f>
        <v/>
      </c>
      <c r="C142" s="8">
        <f>IF($A142="","",'Items'!$K142)</f>
        <v/>
      </c>
      <c r="D142" s="8">
        <f>IF($A142="","",'Items'!$E142)</f>
        <v/>
      </c>
      <c r="E142" s="8">
        <f>IF($A142="","",'Items'!$D142)</f>
        <v/>
      </c>
      <c r="F142" s="16">
        <f>IF($A142="","",SUMIFS('Batches'!$E$3:$E$302,'Batches'!$A$3:$A$302,$A142,'Batches'!$G$3:$G$302,$C142)+SUMIFS('Movements'!$F$3:$F$1002,'Movements'!$B$3:$B$1002,$A142,'Movements'!$E$3:$E$1002,"In",'Movements'!$H$3:$H$1002,$C142)-SUMIFS('Movements'!$F$3:$F$1002,'Movements'!$B$3:$B$1002,$A142,'Movements'!$E$3:$E$1002,"Out",'Movements'!$G$3:$G$1002,$C142)-SUMIFS('Movements'!$F$3:$F$1002,'Movements'!$B$3:$B$1002,$A142,'Movements'!$E$3:$E$1002,"Waste",'Movements'!$G$3:$G$1002,$C142)+SUMIFS('Movements'!$F$3:$F$1002,'Movements'!$B$3:$B$1002,$A142,'Movements'!$E$3:$E$1002,"Transfer",'Movements'!$H$3:$H$1002,$C142)-SUMIFS('Movements'!$F$3:$F$1002,'Movements'!$B$3:$B$1002,$A142,'Movements'!$E$3:$E$1002,"Transfer",'Movements'!$G$3:$G$1002,$C142))</f>
        <v/>
      </c>
      <c r="G142" s="15">
        <f>IF($A142="","",'Items'!$I142)</f>
        <v/>
      </c>
      <c r="H142" s="8">
        <f>IF(OR($A142="",$G142=""),"",IF($F142&lt;$G142,"Below minimum","OK"))</f>
        <v/>
      </c>
      <c r="I142" s="18">
        <f>IF($A142="","",IF(SUMPRODUCT(SMALL(('Batches'!$A$3:$A$302=$A142)*('Batches'!$G$3:$G$302=$C142)*('Batches'!$D$3:$D$302&gt;0)*('Batches'!$H$3:$H$302&gt;0)*'Batches'!$D$3:$D$302+(1-('Batches'!$A$3:$A$302=$A142)*('Batches'!$G$3:$G$302=$C142)*('Batches'!$D$3:$D$302&gt;0)*('Batches'!$H$3:$H$302&gt;0))*100000,1))&gt;=100000,"",SUMPRODUCT(SMALL(('Batches'!$A$3:$A$302=$A142)*('Batches'!$G$3:$G$302=$C142)*('Batches'!$D$3:$D$302&gt;0)*('Batches'!$H$3:$H$302&gt;0)*'Batches'!$D$3:$D$302+(1-('Batches'!$A$3:$A$302=$A142)*('Batches'!$G$3:$G$302=$C142)*('Batches'!$D$3:$D$302&gt;0)*('Batches'!$H$3:$H$302&gt;0))*100000,1))))</f>
        <v/>
      </c>
      <c r="J142" s="16">
        <f>IF($A142="","",SUMIFS('Batches'!$H$3:$H$302,'Batches'!$A$3:$A$302,$A142,'Batches'!$G$3:$G$302,$C142,'Batches'!$D$3:$D$302,"&gt;0",'Batches'!$D$3:$D$302,"&lt;="&amp;('Settings'!$B$6+'Settings'!$B$7)))</f>
        <v/>
      </c>
      <c r="K142" s="19">
        <f>IF($A142="","",'Items'!$F142)</f>
        <v/>
      </c>
      <c r="L142" s="19">
        <f>IF($A142="","",$F142*$K142)</f>
        <v/>
      </c>
      <c r="M142" s="16">
        <f>IF($A142="","",IF(AND($H142="Below minimum",OR('Order list'!$B$4="",$D142='Order list'!$B$4)),IFERROR(MATCH($D142,Suppliers,0),99)*10000+ROW(),""))</f>
        <v/>
      </c>
    </row>
    <row r="143">
      <c r="A143" s="8">
        <f>IF('Items'!$A143="","",'Items'!$A143)</f>
        <v/>
      </c>
      <c r="B143" s="8">
        <f>IF($A143="","",'Items'!$B143)</f>
        <v/>
      </c>
      <c r="C143" s="8">
        <f>IF($A143="","",'Items'!$K143)</f>
        <v/>
      </c>
      <c r="D143" s="8">
        <f>IF($A143="","",'Items'!$E143)</f>
        <v/>
      </c>
      <c r="E143" s="8">
        <f>IF($A143="","",'Items'!$D143)</f>
        <v/>
      </c>
      <c r="F143" s="16">
        <f>IF($A143="","",SUMIFS('Batches'!$E$3:$E$302,'Batches'!$A$3:$A$302,$A143,'Batches'!$G$3:$G$302,$C143)+SUMIFS('Movements'!$F$3:$F$1002,'Movements'!$B$3:$B$1002,$A143,'Movements'!$E$3:$E$1002,"In",'Movements'!$H$3:$H$1002,$C143)-SUMIFS('Movements'!$F$3:$F$1002,'Movements'!$B$3:$B$1002,$A143,'Movements'!$E$3:$E$1002,"Out",'Movements'!$G$3:$G$1002,$C143)-SUMIFS('Movements'!$F$3:$F$1002,'Movements'!$B$3:$B$1002,$A143,'Movements'!$E$3:$E$1002,"Waste",'Movements'!$G$3:$G$1002,$C143)+SUMIFS('Movements'!$F$3:$F$1002,'Movements'!$B$3:$B$1002,$A143,'Movements'!$E$3:$E$1002,"Transfer",'Movements'!$H$3:$H$1002,$C143)-SUMIFS('Movements'!$F$3:$F$1002,'Movements'!$B$3:$B$1002,$A143,'Movements'!$E$3:$E$1002,"Transfer",'Movements'!$G$3:$G$1002,$C143))</f>
        <v/>
      </c>
      <c r="G143" s="15">
        <f>IF($A143="","",'Items'!$I143)</f>
        <v/>
      </c>
      <c r="H143" s="8">
        <f>IF(OR($A143="",$G143=""),"",IF($F143&lt;$G143,"Below minimum","OK"))</f>
        <v/>
      </c>
      <c r="I143" s="18">
        <f>IF($A143="","",IF(SUMPRODUCT(SMALL(('Batches'!$A$3:$A$302=$A143)*('Batches'!$G$3:$G$302=$C143)*('Batches'!$D$3:$D$302&gt;0)*('Batches'!$H$3:$H$302&gt;0)*'Batches'!$D$3:$D$302+(1-('Batches'!$A$3:$A$302=$A143)*('Batches'!$G$3:$G$302=$C143)*('Batches'!$D$3:$D$302&gt;0)*('Batches'!$H$3:$H$302&gt;0))*100000,1))&gt;=100000,"",SUMPRODUCT(SMALL(('Batches'!$A$3:$A$302=$A143)*('Batches'!$G$3:$G$302=$C143)*('Batches'!$D$3:$D$302&gt;0)*('Batches'!$H$3:$H$302&gt;0)*'Batches'!$D$3:$D$302+(1-('Batches'!$A$3:$A$302=$A143)*('Batches'!$G$3:$G$302=$C143)*('Batches'!$D$3:$D$302&gt;0)*('Batches'!$H$3:$H$302&gt;0))*100000,1))))</f>
        <v/>
      </c>
      <c r="J143" s="16">
        <f>IF($A143="","",SUMIFS('Batches'!$H$3:$H$302,'Batches'!$A$3:$A$302,$A143,'Batches'!$G$3:$G$302,$C143,'Batches'!$D$3:$D$302,"&gt;0",'Batches'!$D$3:$D$302,"&lt;="&amp;('Settings'!$B$6+'Settings'!$B$7)))</f>
        <v/>
      </c>
      <c r="K143" s="19">
        <f>IF($A143="","",'Items'!$F143)</f>
        <v/>
      </c>
      <c r="L143" s="19">
        <f>IF($A143="","",$F143*$K143)</f>
        <v/>
      </c>
      <c r="M143" s="16">
        <f>IF($A143="","",IF(AND($H143="Below minimum",OR('Order list'!$B$4="",$D143='Order list'!$B$4)),IFERROR(MATCH($D143,Suppliers,0),99)*10000+ROW(),""))</f>
        <v/>
      </c>
    </row>
    <row r="144">
      <c r="A144" s="8">
        <f>IF('Items'!$A144="","",'Items'!$A144)</f>
        <v/>
      </c>
      <c r="B144" s="8">
        <f>IF($A144="","",'Items'!$B144)</f>
        <v/>
      </c>
      <c r="C144" s="8">
        <f>IF($A144="","",'Items'!$K144)</f>
        <v/>
      </c>
      <c r="D144" s="8">
        <f>IF($A144="","",'Items'!$E144)</f>
        <v/>
      </c>
      <c r="E144" s="8">
        <f>IF($A144="","",'Items'!$D144)</f>
        <v/>
      </c>
      <c r="F144" s="16">
        <f>IF($A144="","",SUMIFS('Batches'!$E$3:$E$302,'Batches'!$A$3:$A$302,$A144,'Batches'!$G$3:$G$302,$C144)+SUMIFS('Movements'!$F$3:$F$1002,'Movements'!$B$3:$B$1002,$A144,'Movements'!$E$3:$E$1002,"In",'Movements'!$H$3:$H$1002,$C144)-SUMIFS('Movements'!$F$3:$F$1002,'Movements'!$B$3:$B$1002,$A144,'Movements'!$E$3:$E$1002,"Out",'Movements'!$G$3:$G$1002,$C144)-SUMIFS('Movements'!$F$3:$F$1002,'Movements'!$B$3:$B$1002,$A144,'Movements'!$E$3:$E$1002,"Waste",'Movements'!$G$3:$G$1002,$C144)+SUMIFS('Movements'!$F$3:$F$1002,'Movements'!$B$3:$B$1002,$A144,'Movements'!$E$3:$E$1002,"Transfer",'Movements'!$H$3:$H$1002,$C144)-SUMIFS('Movements'!$F$3:$F$1002,'Movements'!$B$3:$B$1002,$A144,'Movements'!$E$3:$E$1002,"Transfer",'Movements'!$G$3:$G$1002,$C144))</f>
        <v/>
      </c>
      <c r="G144" s="15">
        <f>IF($A144="","",'Items'!$I144)</f>
        <v/>
      </c>
      <c r="H144" s="8">
        <f>IF(OR($A144="",$G144=""),"",IF($F144&lt;$G144,"Below minimum","OK"))</f>
        <v/>
      </c>
      <c r="I144" s="18">
        <f>IF($A144="","",IF(SUMPRODUCT(SMALL(('Batches'!$A$3:$A$302=$A144)*('Batches'!$G$3:$G$302=$C144)*('Batches'!$D$3:$D$302&gt;0)*('Batches'!$H$3:$H$302&gt;0)*'Batches'!$D$3:$D$302+(1-('Batches'!$A$3:$A$302=$A144)*('Batches'!$G$3:$G$302=$C144)*('Batches'!$D$3:$D$302&gt;0)*('Batches'!$H$3:$H$302&gt;0))*100000,1))&gt;=100000,"",SUMPRODUCT(SMALL(('Batches'!$A$3:$A$302=$A144)*('Batches'!$G$3:$G$302=$C144)*('Batches'!$D$3:$D$302&gt;0)*('Batches'!$H$3:$H$302&gt;0)*'Batches'!$D$3:$D$302+(1-('Batches'!$A$3:$A$302=$A144)*('Batches'!$G$3:$G$302=$C144)*('Batches'!$D$3:$D$302&gt;0)*('Batches'!$H$3:$H$302&gt;0))*100000,1))))</f>
        <v/>
      </c>
      <c r="J144" s="16">
        <f>IF($A144="","",SUMIFS('Batches'!$H$3:$H$302,'Batches'!$A$3:$A$302,$A144,'Batches'!$G$3:$G$302,$C144,'Batches'!$D$3:$D$302,"&gt;0",'Batches'!$D$3:$D$302,"&lt;="&amp;('Settings'!$B$6+'Settings'!$B$7)))</f>
        <v/>
      </c>
      <c r="K144" s="19">
        <f>IF($A144="","",'Items'!$F144)</f>
        <v/>
      </c>
      <c r="L144" s="19">
        <f>IF($A144="","",$F144*$K144)</f>
        <v/>
      </c>
      <c r="M144" s="16">
        <f>IF($A144="","",IF(AND($H144="Below minimum",OR('Order list'!$B$4="",$D144='Order list'!$B$4)),IFERROR(MATCH($D144,Suppliers,0),99)*10000+ROW(),""))</f>
        <v/>
      </c>
    </row>
    <row r="145">
      <c r="A145" s="8">
        <f>IF('Items'!$A145="","",'Items'!$A145)</f>
        <v/>
      </c>
      <c r="B145" s="8">
        <f>IF($A145="","",'Items'!$B145)</f>
        <v/>
      </c>
      <c r="C145" s="8">
        <f>IF($A145="","",'Items'!$K145)</f>
        <v/>
      </c>
      <c r="D145" s="8">
        <f>IF($A145="","",'Items'!$E145)</f>
        <v/>
      </c>
      <c r="E145" s="8">
        <f>IF($A145="","",'Items'!$D145)</f>
        <v/>
      </c>
      <c r="F145" s="16">
        <f>IF($A145="","",SUMIFS('Batches'!$E$3:$E$302,'Batches'!$A$3:$A$302,$A145,'Batches'!$G$3:$G$302,$C145)+SUMIFS('Movements'!$F$3:$F$1002,'Movements'!$B$3:$B$1002,$A145,'Movements'!$E$3:$E$1002,"In",'Movements'!$H$3:$H$1002,$C145)-SUMIFS('Movements'!$F$3:$F$1002,'Movements'!$B$3:$B$1002,$A145,'Movements'!$E$3:$E$1002,"Out",'Movements'!$G$3:$G$1002,$C145)-SUMIFS('Movements'!$F$3:$F$1002,'Movements'!$B$3:$B$1002,$A145,'Movements'!$E$3:$E$1002,"Waste",'Movements'!$G$3:$G$1002,$C145)+SUMIFS('Movements'!$F$3:$F$1002,'Movements'!$B$3:$B$1002,$A145,'Movements'!$E$3:$E$1002,"Transfer",'Movements'!$H$3:$H$1002,$C145)-SUMIFS('Movements'!$F$3:$F$1002,'Movements'!$B$3:$B$1002,$A145,'Movements'!$E$3:$E$1002,"Transfer",'Movements'!$G$3:$G$1002,$C145))</f>
        <v/>
      </c>
      <c r="G145" s="15">
        <f>IF($A145="","",'Items'!$I145)</f>
        <v/>
      </c>
      <c r="H145" s="8">
        <f>IF(OR($A145="",$G145=""),"",IF($F145&lt;$G145,"Below minimum","OK"))</f>
        <v/>
      </c>
      <c r="I145" s="18">
        <f>IF($A145="","",IF(SUMPRODUCT(SMALL(('Batches'!$A$3:$A$302=$A145)*('Batches'!$G$3:$G$302=$C145)*('Batches'!$D$3:$D$302&gt;0)*('Batches'!$H$3:$H$302&gt;0)*'Batches'!$D$3:$D$302+(1-('Batches'!$A$3:$A$302=$A145)*('Batches'!$G$3:$G$302=$C145)*('Batches'!$D$3:$D$302&gt;0)*('Batches'!$H$3:$H$302&gt;0))*100000,1))&gt;=100000,"",SUMPRODUCT(SMALL(('Batches'!$A$3:$A$302=$A145)*('Batches'!$G$3:$G$302=$C145)*('Batches'!$D$3:$D$302&gt;0)*('Batches'!$H$3:$H$302&gt;0)*'Batches'!$D$3:$D$302+(1-('Batches'!$A$3:$A$302=$A145)*('Batches'!$G$3:$G$302=$C145)*('Batches'!$D$3:$D$302&gt;0)*('Batches'!$H$3:$H$302&gt;0))*100000,1))))</f>
        <v/>
      </c>
      <c r="J145" s="16">
        <f>IF($A145="","",SUMIFS('Batches'!$H$3:$H$302,'Batches'!$A$3:$A$302,$A145,'Batches'!$G$3:$G$302,$C145,'Batches'!$D$3:$D$302,"&gt;0",'Batches'!$D$3:$D$302,"&lt;="&amp;('Settings'!$B$6+'Settings'!$B$7)))</f>
        <v/>
      </c>
      <c r="K145" s="19">
        <f>IF($A145="","",'Items'!$F145)</f>
        <v/>
      </c>
      <c r="L145" s="19">
        <f>IF($A145="","",$F145*$K145)</f>
        <v/>
      </c>
      <c r="M145" s="16">
        <f>IF($A145="","",IF(AND($H145="Below minimum",OR('Order list'!$B$4="",$D145='Order list'!$B$4)),IFERROR(MATCH($D145,Suppliers,0),99)*10000+ROW(),""))</f>
        <v/>
      </c>
    </row>
    <row r="146">
      <c r="A146" s="8">
        <f>IF('Items'!$A146="","",'Items'!$A146)</f>
        <v/>
      </c>
      <c r="B146" s="8">
        <f>IF($A146="","",'Items'!$B146)</f>
        <v/>
      </c>
      <c r="C146" s="8">
        <f>IF($A146="","",'Items'!$K146)</f>
        <v/>
      </c>
      <c r="D146" s="8">
        <f>IF($A146="","",'Items'!$E146)</f>
        <v/>
      </c>
      <c r="E146" s="8">
        <f>IF($A146="","",'Items'!$D146)</f>
        <v/>
      </c>
      <c r="F146" s="16">
        <f>IF($A146="","",SUMIFS('Batches'!$E$3:$E$302,'Batches'!$A$3:$A$302,$A146,'Batches'!$G$3:$G$302,$C146)+SUMIFS('Movements'!$F$3:$F$1002,'Movements'!$B$3:$B$1002,$A146,'Movements'!$E$3:$E$1002,"In",'Movements'!$H$3:$H$1002,$C146)-SUMIFS('Movements'!$F$3:$F$1002,'Movements'!$B$3:$B$1002,$A146,'Movements'!$E$3:$E$1002,"Out",'Movements'!$G$3:$G$1002,$C146)-SUMIFS('Movements'!$F$3:$F$1002,'Movements'!$B$3:$B$1002,$A146,'Movements'!$E$3:$E$1002,"Waste",'Movements'!$G$3:$G$1002,$C146)+SUMIFS('Movements'!$F$3:$F$1002,'Movements'!$B$3:$B$1002,$A146,'Movements'!$E$3:$E$1002,"Transfer",'Movements'!$H$3:$H$1002,$C146)-SUMIFS('Movements'!$F$3:$F$1002,'Movements'!$B$3:$B$1002,$A146,'Movements'!$E$3:$E$1002,"Transfer",'Movements'!$G$3:$G$1002,$C146))</f>
        <v/>
      </c>
      <c r="G146" s="15">
        <f>IF($A146="","",'Items'!$I146)</f>
        <v/>
      </c>
      <c r="H146" s="8">
        <f>IF(OR($A146="",$G146=""),"",IF($F146&lt;$G146,"Below minimum","OK"))</f>
        <v/>
      </c>
      <c r="I146" s="18">
        <f>IF($A146="","",IF(SUMPRODUCT(SMALL(('Batches'!$A$3:$A$302=$A146)*('Batches'!$G$3:$G$302=$C146)*('Batches'!$D$3:$D$302&gt;0)*('Batches'!$H$3:$H$302&gt;0)*'Batches'!$D$3:$D$302+(1-('Batches'!$A$3:$A$302=$A146)*('Batches'!$G$3:$G$302=$C146)*('Batches'!$D$3:$D$302&gt;0)*('Batches'!$H$3:$H$302&gt;0))*100000,1))&gt;=100000,"",SUMPRODUCT(SMALL(('Batches'!$A$3:$A$302=$A146)*('Batches'!$G$3:$G$302=$C146)*('Batches'!$D$3:$D$302&gt;0)*('Batches'!$H$3:$H$302&gt;0)*'Batches'!$D$3:$D$302+(1-('Batches'!$A$3:$A$302=$A146)*('Batches'!$G$3:$G$302=$C146)*('Batches'!$D$3:$D$302&gt;0)*('Batches'!$H$3:$H$302&gt;0))*100000,1))))</f>
        <v/>
      </c>
      <c r="J146" s="16">
        <f>IF($A146="","",SUMIFS('Batches'!$H$3:$H$302,'Batches'!$A$3:$A$302,$A146,'Batches'!$G$3:$G$302,$C146,'Batches'!$D$3:$D$302,"&gt;0",'Batches'!$D$3:$D$302,"&lt;="&amp;('Settings'!$B$6+'Settings'!$B$7)))</f>
        <v/>
      </c>
      <c r="K146" s="19">
        <f>IF($A146="","",'Items'!$F146)</f>
        <v/>
      </c>
      <c r="L146" s="19">
        <f>IF($A146="","",$F146*$K146)</f>
        <v/>
      </c>
      <c r="M146" s="16">
        <f>IF($A146="","",IF(AND($H146="Below minimum",OR('Order list'!$B$4="",$D146='Order list'!$B$4)),IFERROR(MATCH($D146,Suppliers,0),99)*10000+ROW(),""))</f>
        <v/>
      </c>
    </row>
    <row r="147">
      <c r="A147" s="8">
        <f>IF('Items'!$A147="","",'Items'!$A147)</f>
        <v/>
      </c>
      <c r="B147" s="8">
        <f>IF($A147="","",'Items'!$B147)</f>
        <v/>
      </c>
      <c r="C147" s="8">
        <f>IF($A147="","",'Items'!$K147)</f>
        <v/>
      </c>
      <c r="D147" s="8">
        <f>IF($A147="","",'Items'!$E147)</f>
        <v/>
      </c>
      <c r="E147" s="8">
        <f>IF($A147="","",'Items'!$D147)</f>
        <v/>
      </c>
      <c r="F147" s="16">
        <f>IF($A147="","",SUMIFS('Batches'!$E$3:$E$302,'Batches'!$A$3:$A$302,$A147,'Batches'!$G$3:$G$302,$C147)+SUMIFS('Movements'!$F$3:$F$1002,'Movements'!$B$3:$B$1002,$A147,'Movements'!$E$3:$E$1002,"In",'Movements'!$H$3:$H$1002,$C147)-SUMIFS('Movements'!$F$3:$F$1002,'Movements'!$B$3:$B$1002,$A147,'Movements'!$E$3:$E$1002,"Out",'Movements'!$G$3:$G$1002,$C147)-SUMIFS('Movements'!$F$3:$F$1002,'Movements'!$B$3:$B$1002,$A147,'Movements'!$E$3:$E$1002,"Waste",'Movements'!$G$3:$G$1002,$C147)+SUMIFS('Movements'!$F$3:$F$1002,'Movements'!$B$3:$B$1002,$A147,'Movements'!$E$3:$E$1002,"Transfer",'Movements'!$H$3:$H$1002,$C147)-SUMIFS('Movements'!$F$3:$F$1002,'Movements'!$B$3:$B$1002,$A147,'Movements'!$E$3:$E$1002,"Transfer",'Movements'!$G$3:$G$1002,$C147))</f>
        <v/>
      </c>
      <c r="G147" s="15">
        <f>IF($A147="","",'Items'!$I147)</f>
        <v/>
      </c>
      <c r="H147" s="8">
        <f>IF(OR($A147="",$G147=""),"",IF($F147&lt;$G147,"Below minimum","OK"))</f>
        <v/>
      </c>
      <c r="I147" s="18">
        <f>IF($A147="","",IF(SUMPRODUCT(SMALL(('Batches'!$A$3:$A$302=$A147)*('Batches'!$G$3:$G$302=$C147)*('Batches'!$D$3:$D$302&gt;0)*('Batches'!$H$3:$H$302&gt;0)*'Batches'!$D$3:$D$302+(1-('Batches'!$A$3:$A$302=$A147)*('Batches'!$G$3:$G$302=$C147)*('Batches'!$D$3:$D$302&gt;0)*('Batches'!$H$3:$H$302&gt;0))*100000,1))&gt;=100000,"",SUMPRODUCT(SMALL(('Batches'!$A$3:$A$302=$A147)*('Batches'!$G$3:$G$302=$C147)*('Batches'!$D$3:$D$302&gt;0)*('Batches'!$H$3:$H$302&gt;0)*'Batches'!$D$3:$D$302+(1-('Batches'!$A$3:$A$302=$A147)*('Batches'!$G$3:$G$302=$C147)*('Batches'!$D$3:$D$302&gt;0)*('Batches'!$H$3:$H$302&gt;0))*100000,1))))</f>
        <v/>
      </c>
      <c r="J147" s="16">
        <f>IF($A147="","",SUMIFS('Batches'!$H$3:$H$302,'Batches'!$A$3:$A$302,$A147,'Batches'!$G$3:$G$302,$C147,'Batches'!$D$3:$D$302,"&gt;0",'Batches'!$D$3:$D$302,"&lt;="&amp;('Settings'!$B$6+'Settings'!$B$7)))</f>
        <v/>
      </c>
      <c r="K147" s="19">
        <f>IF($A147="","",'Items'!$F147)</f>
        <v/>
      </c>
      <c r="L147" s="19">
        <f>IF($A147="","",$F147*$K147)</f>
        <v/>
      </c>
      <c r="M147" s="16">
        <f>IF($A147="","",IF(AND($H147="Below minimum",OR('Order list'!$B$4="",$D147='Order list'!$B$4)),IFERROR(MATCH($D147,Suppliers,0),99)*10000+ROW(),""))</f>
        <v/>
      </c>
    </row>
    <row r="148">
      <c r="A148" s="8">
        <f>IF('Items'!$A148="","",'Items'!$A148)</f>
        <v/>
      </c>
      <c r="B148" s="8">
        <f>IF($A148="","",'Items'!$B148)</f>
        <v/>
      </c>
      <c r="C148" s="8">
        <f>IF($A148="","",'Items'!$K148)</f>
        <v/>
      </c>
      <c r="D148" s="8">
        <f>IF($A148="","",'Items'!$E148)</f>
        <v/>
      </c>
      <c r="E148" s="8">
        <f>IF($A148="","",'Items'!$D148)</f>
        <v/>
      </c>
      <c r="F148" s="16">
        <f>IF($A148="","",SUMIFS('Batches'!$E$3:$E$302,'Batches'!$A$3:$A$302,$A148,'Batches'!$G$3:$G$302,$C148)+SUMIFS('Movements'!$F$3:$F$1002,'Movements'!$B$3:$B$1002,$A148,'Movements'!$E$3:$E$1002,"In",'Movements'!$H$3:$H$1002,$C148)-SUMIFS('Movements'!$F$3:$F$1002,'Movements'!$B$3:$B$1002,$A148,'Movements'!$E$3:$E$1002,"Out",'Movements'!$G$3:$G$1002,$C148)-SUMIFS('Movements'!$F$3:$F$1002,'Movements'!$B$3:$B$1002,$A148,'Movements'!$E$3:$E$1002,"Waste",'Movements'!$G$3:$G$1002,$C148)+SUMIFS('Movements'!$F$3:$F$1002,'Movements'!$B$3:$B$1002,$A148,'Movements'!$E$3:$E$1002,"Transfer",'Movements'!$H$3:$H$1002,$C148)-SUMIFS('Movements'!$F$3:$F$1002,'Movements'!$B$3:$B$1002,$A148,'Movements'!$E$3:$E$1002,"Transfer",'Movements'!$G$3:$G$1002,$C148))</f>
        <v/>
      </c>
      <c r="G148" s="15">
        <f>IF($A148="","",'Items'!$I148)</f>
        <v/>
      </c>
      <c r="H148" s="8">
        <f>IF(OR($A148="",$G148=""),"",IF($F148&lt;$G148,"Below minimum","OK"))</f>
        <v/>
      </c>
      <c r="I148" s="18">
        <f>IF($A148="","",IF(SUMPRODUCT(SMALL(('Batches'!$A$3:$A$302=$A148)*('Batches'!$G$3:$G$302=$C148)*('Batches'!$D$3:$D$302&gt;0)*('Batches'!$H$3:$H$302&gt;0)*'Batches'!$D$3:$D$302+(1-('Batches'!$A$3:$A$302=$A148)*('Batches'!$G$3:$G$302=$C148)*('Batches'!$D$3:$D$302&gt;0)*('Batches'!$H$3:$H$302&gt;0))*100000,1))&gt;=100000,"",SUMPRODUCT(SMALL(('Batches'!$A$3:$A$302=$A148)*('Batches'!$G$3:$G$302=$C148)*('Batches'!$D$3:$D$302&gt;0)*('Batches'!$H$3:$H$302&gt;0)*'Batches'!$D$3:$D$302+(1-('Batches'!$A$3:$A$302=$A148)*('Batches'!$G$3:$G$302=$C148)*('Batches'!$D$3:$D$302&gt;0)*('Batches'!$H$3:$H$302&gt;0))*100000,1))))</f>
        <v/>
      </c>
      <c r="J148" s="16">
        <f>IF($A148="","",SUMIFS('Batches'!$H$3:$H$302,'Batches'!$A$3:$A$302,$A148,'Batches'!$G$3:$G$302,$C148,'Batches'!$D$3:$D$302,"&gt;0",'Batches'!$D$3:$D$302,"&lt;="&amp;('Settings'!$B$6+'Settings'!$B$7)))</f>
        <v/>
      </c>
      <c r="K148" s="19">
        <f>IF($A148="","",'Items'!$F148)</f>
        <v/>
      </c>
      <c r="L148" s="19">
        <f>IF($A148="","",$F148*$K148)</f>
        <v/>
      </c>
      <c r="M148" s="16">
        <f>IF($A148="","",IF(AND($H148="Below minimum",OR('Order list'!$B$4="",$D148='Order list'!$B$4)),IFERROR(MATCH($D148,Suppliers,0),99)*10000+ROW(),""))</f>
        <v/>
      </c>
    </row>
    <row r="149">
      <c r="A149" s="8">
        <f>IF('Items'!$A149="","",'Items'!$A149)</f>
        <v/>
      </c>
      <c r="B149" s="8">
        <f>IF($A149="","",'Items'!$B149)</f>
        <v/>
      </c>
      <c r="C149" s="8">
        <f>IF($A149="","",'Items'!$K149)</f>
        <v/>
      </c>
      <c r="D149" s="8">
        <f>IF($A149="","",'Items'!$E149)</f>
        <v/>
      </c>
      <c r="E149" s="8">
        <f>IF($A149="","",'Items'!$D149)</f>
        <v/>
      </c>
      <c r="F149" s="16">
        <f>IF($A149="","",SUMIFS('Batches'!$E$3:$E$302,'Batches'!$A$3:$A$302,$A149,'Batches'!$G$3:$G$302,$C149)+SUMIFS('Movements'!$F$3:$F$1002,'Movements'!$B$3:$B$1002,$A149,'Movements'!$E$3:$E$1002,"In",'Movements'!$H$3:$H$1002,$C149)-SUMIFS('Movements'!$F$3:$F$1002,'Movements'!$B$3:$B$1002,$A149,'Movements'!$E$3:$E$1002,"Out",'Movements'!$G$3:$G$1002,$C149)-SUMIFS('Movements'!$F$3:$F$1002,'Movements'!$B$3:$B$1002,$A149,'Movements'!$E$3:$E$1002,"Waste",'Movements'!$G$3:$G$1002,$C149)+SUMIFS('Movements'!$F$3:$F$1002,'Movements'!$B$3:$B$1002,$A149,'Movements'!$E$3:$E$1002,"Transfer",'Movements'!$H$3:$H$1002,$C149)-SUMIFS('Movements'!$F$3:$F$1002,'Movements'!$B$3:$B$1002,$A149,'Movements'!$E$3:$E$1002,"Transfer",'Movements'!$G$3:$G$1002,$C149))</f>
        <v/>
      </c>
      <c r="G149" s="15">
        <f>IF($A149="","",'Items'!$I149)</f>
        <v/>
      </c>
      <c r="H149" s="8">
        <f>IF(OR($A149="",$G149=""),"",IF($F149&lt;$G149,"Below minimum","OK"))</f>
        <v/>
      </c>
      <c r="I149" s="18">
        <f>IF($A149="","",IF(SUMPRODUCT(SMALL(('Batches'!$A$3:$A$302=$A149)*('Batches'!$G$3:$G$302=$C149)*('Batches'!$D$3:$D$302&gt;0)*('Batches'!$H$3:$H$302&gt;0)*'Batches'!$D$3:$D$302+(1-('Batches'!$A$3:$A$302=$A149)*('Batches'!$G$3:$G$302=$C149)*('Batches'!$D$3:$D$302&gt;0)*('Batches'!$H$3:$H$302&gt;0))*100000,1))&gt;=100000,"",SUMPRODUCT(SMALL(('Batches'!$A$3:$A$302=$A149)*('Batches'!$G$3:$G$302=$C149)*('Batches'!$D$3:$D$302&gt;0)*('Batches'!$H$3:$H$302&gt;0)*'Batches'!$D$3:$D$302+(1-('Batches'!$A$3:$A$302=$A149)*('Batches'!$G$3:$G$302=$C149)*('Batches'!$D$3:$D$302&gt;0)*('Batches'!$H$3:$H$302&gt;0))*100000,1))))</f>
        <v/>
      </c>
      <c r="J149" s="16">
        <f>IF($A149="","",SUMIFS('Batches'!$H$3:$H$302,'Batches'!$A$3:$A$302,$A149,'Batches'!$G$3:$G$302,$C149,'Batches'!$D$3:$D$302,"&gt;0",'Batches'!$D$3:$D$302,"&lt;="&amp;('Settings'!$B$6+'Settings'!$B$7)))</f>
        <v/>
      </c>
      <c r="K149" s="19">
        <f>IF($A149="","",'Items'!$F149)</f>
        <v/>
      </c>
      <c r="L149" s="19">
        <f>IF($A149="","",$F149*$K149)</f>
        <v/>
      </c>
      <c r="M149" s="16">
        <f>IF($A149="","",IF(AND($H149="Below minimum",OR('Order list'!$B$4="",$D149='Order list'!$B$4)),IFERROR(MATCH($D149,Suppliers,0),99)*10000+ROW(),""))</f>
        <v/>
      </c>
    </row>
    <row r="150">
      <c r="A150" s="8">
        <f>IF('Items'!$A150="","",'Items'!$A150)</f>
        <v/>
      </c>
      <c r="B150" s="8">
        <f>IF($A150="","",'Items'!$B150)</f>
        <v/>
      </c>
      <c r="C150" s="8">
        <f>IF($A150="","",'Items'!$K150)</f>
        <v/>
      </c>
      <c r="D150" s="8">
        <f>IF($A150="","",'Items'!$E150)</f>
        <v/>
      </c>
      <c r="E150" s="8">
        <f>IF($A150="","",'Items'!$D150)</f>
        <v/>
      </c>
      <c r="F150" s="16">
        <f>IF($A150="","",SUMIFS('Batches'!$E$3:$E$302,'Batches'!$A$3:$A$302,$A150,'Batches'!$G$3:$G$302,$C150)+SUMIFS('Movements'!$F$3:$F$1002,'Movements'!$B$3:$B$1002,$A150,'Movements'!$E$3:$E$1002,"In",'Movements'!$H$3:$H$1002,$C150)-SUMIFS('Movements'!$F$3:$F$1002,'Movements'!$B$3:$B$1002,$A150,'Movements'!$E$3:$E$1002,"Out",'Movements'!$G$3:$G$1002,$C150)-SUMIFS('Movements'!$F$3:$F$1002,'Movements'!$B$3:$B$1002,$A150,'Movements'!$E$3:$E$1002,"Waste",'Movements'!$G$3:$G$1002,$C150)+SUMIFS('Movements'!$F$3:$F$1002,'Movements'!$B$3:$B$1002,$A150,'Movements'!$E$3:$E$1002,"Transfer",'Movements'!$H$3:$H$1002,$C150)-SUMIFS('Movements'!$F$3:$F$1002,'Movements'!$B$3:$B$1002,$A150,'Movements'!$E$3:$E$1002,"Transfer",'Movements'!$G$3:$G$1002,$C150))</f>
        <v/>
      </c>
      <c r="G150" s="15">
        <f>IF($A150="","",'Items'!$I150)</f>
        <v/>
      </c>
      <c r="H150" s="8">
        <f>IF(OR($A150="",$G150=""),"",IF($F150&lt;$G150,"Below minimum","OK"))</f>
        <v/>
      </c>
      <c r="I150" s="18">
        <f>IF($A150="","",IF(SUMPRODUCT(SMALL(('Batches'!$A$3:$A$302=$A150)*('Batches'!$G$3:$G$302=$C150)*('Batches'!$D$3:$D$302&gt;0)*('Batches'!$H$3:$H$302&gt;0)*'Batches'!$D$3:$D$302+(1-('Batches'!$A$3:$A$302=$A150)*('Batches'!$G$3:$G$302=$C150)*('Batches'!$D$3:$D$302&gt;0)*('Batches'!$H$3:$H$302&gt;0))*100000,1))&gt;=100000,"",SUMPRODUCT(SMALL(('Batches'!$A$3:$A$302=$A150)*('Batches'!$G$3:$G$302=$C150)*('Batches'!$D$3:$D$302&gt;0)*('Batches'!$H$3:$H$302&gt;0)*'Batches'!$D$3:$D$302+(1-('Batches'!$A$3:$A$302=$A150)*('Batches'!$G$3:$G$302=$C150)*('Batches'!$D$3:$D$302&gt;0)*('Batches'!$H$3:$H$302&gt;0))*100000,1))))</f>
        <v/>
      </c>
      <c r="J150" s="16">
        <f>IF($A150="","",SUMIFS('Batches'!$H$3:$H$302,'Batches'!$A$3:$A$302,$A150,'Batches'!$G$3:$G$302,$C150,'Batches'!$D$3:$D$302,"&gt;0",'Batches'!$D$3:$D$302,"&lt;="&amp;('Settings'!$B$6+'Settings'!$B$7)))</f>
        <v/>
      </c>
      <c r="K150" s="19">
        <f>IF($A150="","",'Items'!$F150)</f>
        <v/>
      </c>
      <c r="L150" s="19">
        <f>IF($A150="","",$F150*$K150)</f>
        <v/>
      </c>
      <c r="M150" s="16">
        <f>IF($A150="","",IF(AND($H150="Below minimum",OR('Order list'!$B$4="",$D150='Order list'!$B$4)),IFERROR(MATCH($D150,Suppliers,0),99)*10000+ROW(),""))</f>
        <v/>
      </c>
    </row>
    <row r="151">
      <c r="A151" s="8">
        <f>IF('Items'!$A151="","",'Items'!$A151)</f>
        <v/>
      </c>
      <c r="B151" s="8">
        <f>IF($A151="","",'Items'!$B151)</f>
        <v/>
      </c>
      <c r="C151" s="8">
        <f>IF($A151="","",'Items'!$K151)</f>
        <v/>
      </c>
      <c r="D151" s="8">
        <f>IF($A151="","",'Items'!$E151)</f>
        <v/>
      </c>
      <c r="E151" s="8">
        <f>IF($A151="","",'Items'!$D151)</f>
        <v/>
      </c>
      <c r="F151" s="16">
        <f>IF($A151="","",SUMIFS('Batches'!$E$3:$E$302,'Batches'!$A$3:$A$302,$A151,'Batches'!$G$3:$G$302,$C151)+SUMIFS('Movements'!$F$3:$F$1002,'Movements'!$B$3:$B$1002,$A151,'Movements'!$E$3:$E$1002,"In",'Movements'!$H$3:$H$1002,$C151)-SUMIFS('Movements'!$F$3:$F$1002,'Movements'!$B$3:$B$1002,$A151,'Movements'!$E$3:$E$1002,"Out",'Movements'!$G$3:$G$1002,$C151)-SUMIFS('Movements'!$F$3:$F$1002,'Movements'!$B$3:$B$1002,$A151,'Movements'!$E$3:$E$1002,"Waste",'Movements'!$G$3:$G$1002,$C151)+SUMIFS('Movements'!$F$3:$F$1002,'Movements'!$B$3:$B$1002,$A151,'Movements'!$E$3:$E$1002,"Transfer",'Movements'!$H$3:$H$1002,$C151)-SUMIFS('Movements'!$F$3:$F$1002,'Movements'!$B$3:$B$1002,$A151,'Movements'!$E$3:$E$1002,"Transfer",'Movements'!$G$3:$G$1002,$C151))</f>
        <v/>
      </c>
      <c r="G151" s="15">
        <f>IF($A151="","",'Items'!$I151)</f>
        <v/>
      </c>
      <c r="H151" s="8">
        <f>IF(OR($A151="",$G151=""),"",IF($F151&lt;$G151,"Below minimum","OK"))</f>
        <v/>
      </c>
      <c r="I151" s="18">
        <f>IF($A151="","",IF(SUMPRODUCT(SMALL(('Batches'!$A$3:$A$302=$A151)*('Batches'!$G$3:$G$302=$C151)*('Batches'!$D$3:$D$302&gt;0)*('Batches'!$H$3:$H$302&gt;0)*'Batches'!$D$3:$D$302+(1-('Batches'!$A$3:$A$302=$A151)*('Batches'!$G$3:$G$302=$C151)*('Batches'!$D$3:$D$302&gt;0)*('Batches'!$H$3:$H$302&gt;0))*100000,1))&gt;=100000,"",SUMPRODUCT(SMALL(('Batches'!$A$3:$A$302=$A151)*('Batches'!$G$3:$G$302=$C151)*('Batches'!$D$3:$D$302&gt;0)*('Batches'!$H$3:$H$302&gt;0)*'Batches'!$D$3:$D$302+(1-('Batches'!$A$3:$A$302=$A151)*('Batches'!$G$3:$G$302=$C151)*('Batches'!$D$3:$D$302&gt;0)*('Batches'!$H$3:$H$302&gt;0))*100000,1))))</f>
        <v/>
      </c>
      <c r="J151" s="16">
        <f>IF($A151="","",SUMIFS('Batches'!$H$3:$H$302,'Batches'!$A$3:$A$302,$A151,'Batches'!$G$3:$G$302,$C151,'Batches'!$D$3:$D$302,"&gt;0",'Batches'!$D$3:$D$302,"&lt;="&amp;('Settings'!$B$6+'Settings'!$B$7)))</f>
        <v/>
      </c>
      <c r="K151" s="19">
        <f>IF($A151="","",'Items'!$F151)</f>
        <v/>
      </c>
      <c r="L151" s="19">
        <f>IF($A151="","",$F151*$K151)</f>
        <v/>
      </c>
      <c r="M151" s="16">
        <f>IF($A151="","",IF(AND($H151="Below minimum",OR('Order list'!$B$4="",$D151='Order list'!$B$4)),IFERROR(MATCH($D151,Suppliers,0),99)*10000+ROW(),""))</f>
        <v/>
      </c>
    </row>
    <row r="152">
      <c r="A152" s="8">
        <f>IF('Items'!$A152="","",'Items'!$A152)</f>
        <v/>
      </c>
      <c r="B152" s="8">
        <f>IF($A152="","",'Items'!$B152)</f>
        <v/>
      </c>
      <c r="C152" s="8">
        <f>IF($A152="","",'Items'!$K152)</f>
        <v/>
      </c>
      <c r="D152" s="8">
        <f>IF($A152="","",'Items'!$E152)</f>
        <v/>
      </c>
      <c r="E152" s="8">
        <f>IF($A152="","",'Items'!$D152)</f>
        <v/>
      </c>
      <c r="F152" s="16">
        <f>IF($A152="","",SUMIFS('Batches'!$E$3:$E$302,'Batches'!$A$3:$A$302,$A152,'Batches'!$G$3:$G$302,$C152)+SUMIFS('Movements'!$F$3:$F$1002,'Movements'!$B$3:$B$1002,$A152,'Movements'!$E$3:$E$1002,"In",'Movements'!$H$3:$H$1002,$C152)-SUMIFS('Movements'!$F$3:$F$1002,'Movements'!$B$3:$B$1002,$A152,'Movements'!$E$3:$E$1002,"Out",'Movements'!$G$3:$G$1002,$C152)-SUMIFS('Movements'!$F$3:$F$1002,'Movements'!$B$3:$B$1002,$A152,'Movements'!$E$3:$E$1002,"Waste",'Movements'!$G$3:$G$1002,$C152)+SUMIFS('Movements'!$F$3:$F$1002,'Movements'!$B$3:$B$1002,$A152,'Movements'!$E$3:$E$1002,"Transfer",'Movements'!$H$3:$H$1002,$C152)-SUMIFS('Movements'!$F$3:$F$1002,'Movements'!$B$3:$B$1002,$A152,'Movements'!$E$3:$E$1002,"Transfer",'Movements'!$G$3:$G$1002,$C152))</f>
        <v/>
      </c>
      <c r="G152" s="15">
        <f>IF($A152="","",'Items'!$I152)</f>
        <v/>
      </c>
      <c r="H152" s="8">
        <f>IF(OR($A152="",$G152=""),"",IF($F152&lt;$G152,"Below minimum","OK"))</f>
        <v/>
      </c>
      <c r="I152" s="18">
        <f>IF($A152="","",IF(SUMPRODUCT(SMALL(('Batches'!$A$3:$A$302=$A152)*('Batches'!$G$3:$G$302=$C152)*('Batches'!$D$3:$D$302&gt;0)*('Batches'!$H$3:$H$302&gt;0)*'Batches'!$D$3:$D$302+(1-('Batches'!$A$3:$A$302=$A152)*('Batches'!$G$3:$G$302=$C152)*('Batches'!$D$3:$D$302&gt;0)*('Batches'!$H$3:$H$302&gt;0))*100000,1))&gt;=100000,"",SUMPRODUCT(SMALL(('Batches'!$A$3:$A$302=$A152)*('Batches'!$G$3:$G$302=$C152)*('Batches'!$D$3:$D$302&gt;0)*('Batches'!$H$3:$H$302&gt;0)*'Batches'!$D$3:$D$302+(1-('Batches'!$A$3:$A$302=$A152)*('Batches'!$G$3:$G$302=$C152)*('Batches'!$D$3:$D$302&gt;0)*('Batches'!$H$3:$H$302&gt;0))*100000,1))))</f>
        <v/>
      </c>
      <c r="J152" s="16">
        <f>IF($A152="","",SUMIFS('Batches'!$H$3:$H$302,'Batches'!$A$3:$A$302,$A152,'Batches'!$G$3:$G$302,$C152,'Batches'!$D$3:$D$302,"&gt;0",'Batches'!$D$3:$D$302,"&lt;="&amp;('Settings'!$B$6+'Settings'!$B$7)))</f>
        <v/>
      </c>
      <c r="K152" s="19">
        <f>IF($A152="","",'Items'!$F152)</f>
        <v/>
      </c>
      <c r="L152" s="19">
        <f>IF($A152="","",$F152*$K152)</f>
        <v/>
      </c>
      <c r="M152" s="16">
        <f>IF($A152="","",IF(AND($H152="Below minimum",OR('Order list'!$B$4="",$D152='Order list'!$B$4)),IFERROR(MATCH($D152,Suppliers,0),99)*10000+ROW(),""))</f>
        <v/>
      </c>
    </row>
    <row r="153">
      <c r="A153" s="8">
        <f>IF('Items'!$A153="","",'Items'!$A153)</f>
        <v/>
      </c>
      <c r="B153" s="8">
        <f>IF($A153="","",'Items'!$B153)</f>
        <v/>
      </c>
      <c r="C153" s="8">
        <f>IF($A153="","",'Items'!$K153)</f>
        <v/>
      </c>
      <c r="D153" s="8">
        <f>IF($A153="","",'Items'!$E153)</f>
        <v/>
      </c>
      <c r="E153" s="8">
        <f>IF($A153="","",'Items'!$D153)</f>
        <v/>
      </c>
      <c r="F153" s="16">
        <f>IF($A153="","",SUMIFS('Batches'!$E$3:$E$302,'Batches'!$A$3:$A$302,$A153,'Batches'!$G$3:$G$302,$C153)+SUMIFS('Movements'!$F$3:$F$1002,'Movements'!$B$3:$B$1002,$A153,'Movements'!$E$3:$E$1002,"In",'Movements'!$H$3:$H$1002,$C153)-SUMIFS('Movements'!$F$3:$F$1002,'Movements'!$B$3:$B$1002,$A153,'Movements'!$E$3:$E$1002,"Out",'Movements'!$G$3:$G$1002,$C153)-SUMIFS('Movements'!$F$3:$F$1002,'Movements'!$B$3:$B$1002,$A153,'Movements'!$E$3:$E$1002,"Waste",'Movements'!$G$3:$G$1002,$C153)+SUMIFS('Movements'!$F$3:$F$1002,'Movements'!$B$3:$B$1002,$A153,'Movements'!$E$3:$E$1002,"Transfer",'Movements'!$H$3:$H$1002,$C153)-SUMIFS('Movements'!$F$3:$F$1002,'Movements'!$B$3:$B$1002,$A153,'Movements'!$E$3:$E$1002,"Transfer",'Movements'!$G$3:$G$1002,$C153))</f>
        <v/>
      </c>
      <c r="G153" s="15">
        <f>IF($A153="","",'Items'!$I153)</f>
        <v/>
      </c>
      <c r="H153" s="8">
        <f>IF(OR($A153="",$G153=""),"",IF($F153&lt;$G153,"Below minimum","OK"))</f>
        <v/>
      </c>
      <c r="I153" s="18">
        <f>IF($A153="","",IF(SUMPRODUCT(SMALL(('Batches'!$A$3:$A$302=$A153)*('Batches'!$G$3:$G$302=$C153)*('Batches'!$D$3:$D$302&gt;0)*('Batches'!$H$3:$H$302&gt;0)*'Batches'!$D$3:$D$302+(1-('Batches'!$A$3:$A$302=$A153)*('Batches'!$G$3:$G$302=$C153)*('Batches'!$D$3:$D$302&gt;0)*('Batches'!$H$3:$H$302&gt;0))*100000,1))&gt;=100000,"",SUMPRODUCT(SMALL(('Batches'!$A$3:$A$302=$A153)*('Batches'!$G$3:$G$302=$C153)*('Batches'!$D$3:$D$302&gt;0)*('Batches'!$H$3:$H$302&gt;0)*'Batches'!$D$3:$D$302+(1-('Batches'!$A$3:$A$302=$A153)*('Batches'!$G$3:$G$302=$C153)*('Batches'!$D$3:$D$302&gt;0)*('Batches'!$H$3:$H$302&gt;0))*100000,1))))</f>
        <v/>
      </c>
      <c r="J153" s="16">
        <f>IF($A153="","",SUMIFS('Batches'!$H$3:$H$302,'Batches'!$A$3:$A$302,$A153,'Batches'!$G$3:$G$302,$C153,'Batches'!$D$3:$D$302,"&gt;0",'Batches'!$D$3:$D$302,"&lt;="&amp;('Settings'!$B$6+'Settings'!$B$7)))</f>
        <v/>
      </c>
      <c r="K153" s="19">
        <f>IF($A153="","",'Items'!$F153)</f>
        <v/>
      </c>
      <c r="L153" s="19">
        <f>IF($A153="","",$F153*$K153)</f>
        <v/>
      </c>
      <c r="M153" s="16">
        <f>IF($A153="","",IF(AND($H153="Below minimum",OR('Order list'!$B$4="",$D153='Order list'!$B$4)),IFERROR(MATCH($D153,Suppliers,0),99)*10000+ROW(),""))</f>
        <v/>
      </c>
    </row>
    <row r="154">
      <c r="A154" s="8">
        <f>IF('Items'!$A154="","",'Items'!$A154)</f>
        <v/>
      </c>
      <c r="B154" s="8">
        <f>IF($A154="","",'Items'!$B154)</f>
        <v/>
      </c>
      <c r="C154" s="8">
        <f>IF($A154="","",'Items'!$K154)</f>
        <v/>
      </c>
      <c r="D154" s="8">
        <f>IF($A154="","",'Items'!$E154)</f>
        <v/>
      </c>
      <c r="E154" s="8">
        <f>IF($A154="","",'Items'!$D154)</f>
        <v/>
      </c>
      <c r="F154" s="16">
        <f>IF($A154="","",SUMIFS('Batches'!$E$3:$E$302,'Batches'!$A$3:$A$302,$A154,'Batches'!$G$3:$G$302,$C154)+SUMIFS('Movements'!$F$3:$F$1002,'Movements'!$B$3:$B$1002,$A154,'Movements'!$E$3:$E$1002,"In",'Movements'!$H$3:$H$1002,$C154)-SUMIFS('Movements'!$F$3:$F$1002,'Movements'!$B$3:$B$1002,$A154,'Movements'!$E$3:$E$1002,"Out",'Movements'!$G$3:$G$1002,$C154)-SUMIFS('Movements'!$F$3:$F$1002,'Movements'!$B$3:$B$1002,$A154,'Movements'!$E$3:$E$1002,"Waste",'Movements'!$G$3:$G$1002,$C154)+SUMIFS('Movements'!$F$3:$F$1002,'Movements'!$B$3:$B$1002,$A154,'Movements'!$E$3:$E$1002,"Transfer",'Movements'!$H$3:$H$1002,$C154)-SUMIFS('Movements'!$F$3:$F$1002,'Movements'!$B$3:$B$1002,$A154,'Movements'!$E$3:$E$1002,"Transfer",'Movements'!$G$3:$G$1002,$C154))</f>
        <v/>
      </c>
      <c r="G154" s="15">
        <f>IF($A154="","",'Items'!$I154)</f>
        <v/>
      </c>
      <c r="H154" s="8">
        <f>IF(OR($A154="",$G154=""),"",IF($F154&lt;$G154,"Below minimum","OK"))</f>
        <v/>
      </c>
      <c r="I154" s="18">
        <f>IF($A154="","",IF(SUMPRODUCT(SMALL(('Batches'!$A$3:$A$302=$A154)*('Batches'!$G$3:$G$302=$C154)*('Batches'!$D$3:$D$302&gt;0)*('Batches'!$H$3:$H$302&gt;0)*'Batches'!$D$3:$D$302+(1-('Batches'!$A$3:$A$302=$A154)*('Batches'!$G$3:$G$302=$C154)*('Batches'!$D$3:$D$302&gt;0)*('Batches'!$H$3:$H$302&gt;0))*100000,1))&gt;=100000,"",SUMPRODUCT(SMALL(('Batches'!$A$3:$A$302=$A154)*('Batches'!$G$3:$G$302=$C154)*('Batches'!$D$3:$D$302&gt;0)*('Batches'!$H$3:$H$302&gt;0)*'Batches'!$D$3:$D$302+(1-('Batches'!$A$3:$A$302=$A154)*('Batches'!$G$3:$G$302=$C154)*('Batches'!$D$3:$D$302&gt;0)*('Batches'!$H$3:$H$302&gt;0))*100000,1))))</f>
        <v/>
      </c>
      <c r="J154" s="16">
        <f>IF($A154="","",SUMIFS('Batches'!$H$3:$H$302,'Batches'!$A$3:$A$302,$A154,'Batches'!$G$3:$G$302,$C154,'Batches'!$D$3:$D$302,"&gt;0",'Batches'!$D$3:$D$302,"&lt;="&amp;('Settings'!$B$6+'Settings'!$B$7)))</f>
        <v/>
      </c>
      <c r="K154" s="19">
        <f>IF($A154="","",'Items'!$F154)</f>
        <v/>
      </c>
      <c r="L154" s="19">
        <f>IF($A154="","",$F154*$K154)</f>
        <v/>
      </c>
      <c r="M154" s="16">
        <f>IF($A154="","",IF(AND($H154="Below minimum",OR('Order list'!$B$4="",$D154='Order list'!$B$4)),IFERROR(MATCH($D154,Suppliers,0),99)*10000+ROW(),""))</f>
        <v/>
      </c>
    </row>
    <row r="155">
      <c r="A155" s="8">
        <f>IF('Items'!$A155="","",'Items'!$A155)</f>
        <v/>
      </c>
      <c r="B155" s="8">
        <f>IF($A155="","",'Items'!$B155)</f>
        <v/>
      </c>
      <c r="C155" s="8">
        <f>IF($A155="","",'Items'!$K155)</f>
        <v/>
      </c>
      <c r="D155" s="8">
        <f>IF($A155="","",'Items'!$E155)</f>
        <v/>
      </c>
      <c r="E155" s="8">
        <f>IF($A155="","",'Items'!$D155)</f>
        <v/>
      </c>
      <c r="F155" s="16">
        <f>IF($A155="","",SUMIFS('Batches'!$E$3:$E$302,'Batches'!$A$3:$A$302,$A155,'Batches'!$G$3:$G$302,$C155)+SUMIFS('Movements'!$F$3:$F$1002,'Movements'!$B$3:$B$1002,$A155,'Movements'!$E$3:$E$1002,"In",'Movements'!$H$3:$H$1002,$C155)-SUMIFS('Movements'!$F$3:$F$1002,'Movements'!$B$3:$B$1002,$A155,'Movements'!$E$3:$E$1002,"Out",'Movements'!$G$3:$G$1002,$C155)-SUMIFS('Movements'!$F$3:$F$1002,'Movements'!$B$3:$B$1002,$A155,'Movements'!$E$3:$E$1002,"Waste",'Movements'!$G$3:$G$1002,$C155)+SUMIFS('Movements'!$F$3:$F$1002,'Movements'!$B$3:$B$1002,$A155,'Movements'!$E$3:$E$1002,"Transfer",'Movements'!$H$3:$H$1002,$C155)-SUMIFS('Movements'!$F$3:$F$1002,'Movements'!$B$3:$B$1002,$A155,'Movements'!$E$3:$E$1002,"Transfer",'Movements'!$G$3:$G$1002,$C155))</f>
        <v/>
      </c>
      <c r="G155" s="15">
        <f>IF($A155="","",'Items'!$I155)</f>
        <v/>
      </c>
      <c r="H155" s="8">
        <f>IF(OR($A155="",$G155=""),"",IF($F155&lt;$G155,"Below minimum","OK"))</f>
        <v/>
      </c>
      <c r="I155" s="18">
        <f>IF($A155="","",IF(SUMPRODUCT(SMALL(('Batches'!$A$3:$A$302=$A155)*('Batches'!$G$3:$G$302=$C155)*('Batches'!$D$3:$D$302&gt;0)*('Batches'!$H$3:$H$302&gt;0)*'Batches'!$D$3:$D$302+(1-('Batches'!$A$3:$A$302=$A155)*('Batches'!$G$3:$G$302=$C155)*('Batches'!$D$3:$D$302&gt;0)*('Batches'!$H$3:$H$302&gt;0))*100000,1))&gt;=100000,"",SUMPRODUCT(SMALL(('Batches'!$A$3:$A$302=$A155)*('Batches'!$G$3:$G$302=$C155)*('Batches'!$D$3:$D$302&gt;0)*('Batches'!$H$3:$H$302&gt;0)*'Batches'!$D$3:$D$302+(1-('Batches'!$A$3:$A$302=$A155)*('Batches'!$G$3:$G$302=$C155)*('Batches'!$D$3:$D$302&gt;0)*('Batches'!$H$3:$H$302&gt;0))*100000,1))))</f>
        <v/>
      </c>
      <c r="J155" s="16">
        <f>IF($A155="","",SUMIFS('Batches'!$H$3:$H$302,'Batches'!$A$3:$A$302,$A155,'Batches'!$G$3:$G$302,$C155,'Batches'!$D$3:$D$302,"&gt;0",'Batches'!$D$3:$D$302,"&lt;="&amp;('Settings'!$B$6+'Settings'!$B$7)))</f>
        <v/>
      </c>
      <c r="K155" s="19">
        <f>IF($A155="","",'Items'!$F155)</f>
        <v/>
      </c>
      <c r="L155" s="19">
        <f>IF($A155="","",$F155*$K155)</f>
        <v/>
      </c>
      <c r="M155" s="16">
        <f>IF($A155="","",IF(AND($H155="Below minimum",OR('Order list'!$B$4="",$D155='Order list'!$B$4)),IFERROR(MATCH($D155,Suppliers,0),99)*10000+ROW(),""))</f>
        <v/>
      </c>
    </row>
    <row r="156">
      <c r="A156" s="8">
        <f>IF('Items'!$A156="","",'Items'!$A156)</f>
        <v/>
      </c>
      <c r="B156" s="8">
        <f>IF($A156="","",'Items'!$B156)</f>
        <v/>
      </c>
      <c r="C156" s="8">
        <f>IF($A156="","",'Items'!$K156)</f>
        <v/>
      </c>
      <c r="D156" s="8">
        <f>IF($A156="","",'Items'!$E156)</f>
        <v/>
      </c>
      <c r="E156" s="8">
        <f>IF($A156="","",'Items'!$D156)</f>
        <v/>
      </c>
      <c r="F156" s="16">
        <f>IF($A156="","",SUMIFS('Batches'!$E$3:$E$302,'Batches'!$A$3:$A$302,$A156,'Batches'!$G$3:$G$302,$C156)+SUMIFS('Movements'!$F$3:$F$1002,'Movements'!$B$3:$B$1002,$A156,'Movements'!$E$3:$E$1002,"In",'Movements'!$H$3:$H$1002,$C156)-SUMIFS('Movements'!$F$3:$F$1002,'Movements'!$B$3:$B$1002,$A156,'Movements'!$E$3:$E$1002,"Out",'Movements'!$G$3:$G$1002,$C156)-SUMIFS('Movements'!$F$3:$F$1002,'Movements'!$B$3:$B$1002,$A156,'Movements'!$E$3:$E$1002,"Waste",'Movements'!$G$3:$G$1002,$C156)+SUMIFS('Movements'!$F$3:$F$1002,'Movements'!$B$3:$B$1002,$A156,'Movements'!$E$3:$E$1002,"Transfer",'Movements'!$H$3:$H$1002,$C156)-SUMIFS('Movements'!$F$3:$F$1002,'Movements'!$B$3:$B$1002,$A156,'Movements'!$E$3:$E$1002,"Transfer",'Movements'!$G$3:$G$1002,$C156))</f>
        <v/>
      </c>
      <c r="G156" s="15">
        <f>IF($A156="","",'Items'!$I156)</f>
        <v/>
      </c>
      <c r="H156" s="8">
        <f>IF(OR($A156="",$G156=""),"",IF($F156&lt;$G156,"Below minimum","OK"))</f>
        <v/>
      </c>
      <c r="I156" s="18">
        <f>IF($A156="","",IF(SUMPRODUCT(SMALL(('Batches'!$A$3:$A$302=$A156)*('Batches'!$G$3:$G$302=$C156)*('Batches'!$D$3:$D$302&gt;0)*('Batches'!$H$3:$H$302&gt;0)*'Batches'!$D$3:$D$302+(1-('Batches'!$A$3:$A$302=$A156)*('Batches'!$G$3:$G$302=$C156)*('Batches'!$D$3:$D$302&gt;0)*('Batches'!$H$3:$H$302&gt;0))*100000,1))&gt;=100000,"",SUMPRODUCT(SMALL(('Batches'!$A$3:$A$302=$A156)*('Batches'!$G$3:$G$302=$C156)*('Batches'!$D$3:$D$302&gt;0)*('Batches'!$H$3:$H$302&gt;0)*'Batches'!$D$3:$D$302+(1-('Batches'!$A$3:$A$302=$A156)*('Batches'!$G$3:$G$302=$C156)*('Batches'!$D$3:$D$302&gt;0)*('Batches'!$H$3:$H$302&gt;0))*100000,1))))</f>
        <v/>
      </c>
      <c r="J156" s="16">
        <f>IF($A156="","",SUMIFS('Batches'!$H$3:$H$302,'Batches'!$A$3:$A$302,$A156,'Batches'!$G$3:$G$302,$C156,'Batches'!$D$3:$D$302,"&gt;0",'Batches'!$D$3:$D$302,"&lt;="&amp;('Settings'!$B$6+'Settings'!$B$7)))</f>
        <v/>
      </c>
      <c r="K156" s="19">
        <f>IF($A156="","",'Items'!$F156)</f>
        <v/>
      </c>
      <c r="L156" s="19">
        <f>IF($A156="","",$F156*$K156)</f>
        <v/>
      </c>
      <c r="M156" s="16">
        <f>IF($A156="","",IF(AND($H156="Below minimum",OR('Order list'!$B$4="",$D156='Order list'!$B$4)),IFERROR(MATCH($D156,Suppliers,0),99)*10000+ROW(),""))</f>
        <v/>
      </c>
    </row>
    <row r="157">
      <c r="A157" s="8">
        <f>IF('Items'!$A157="","",'Items'!$A157)</f>
        <v/>
      </c>
      <c r="B157" s="8">
        <f>IF($A157="","",'Items'!$B157)</f>
        <v/>
      </c>
      <c r="C157" s="8">
        <f>IF($A157="","",'Items'!$K157)</f>
        <v/>
      </c>
      <c r="D157" s="8">
        <f>IF($A157="","",'Items'!$E157)</f>
        <v/>
      </c>
      <c r="E157" s="8">
        <f>IF($A157="","",'Items'!$D157)</f>
        <v/>
      </c>
      <c r="F157" s="16">
        <f>IF($A157="","",SUMIFS('Batches'!$E$3:$E$302,'Batches'!$A$3:$A$302,$A157,'Batches'!$G$3:$G$302,$C157)+SUMIFS('Movements'!$F$3:$F$1002,'Movements'!$B$3:$B$1002,$A157,'Movements'!$E$3:$E$1002,"In",'Movements'!$H$3:$H$1002,$C157)-SUMIFS('Movements'!$F$3:$F$1002,'Movements'!$B$3:$B$1002,$A157,'Movements'!$E$3:$E$1002,"Out",'Movements'!$G$3:$G$1002,$C157)-SUMIFS('Movements'!$F$3:$F$1002,'Movements'!$B$3:$B$1002,$A157,'Movements'!$E$3:$E$1002,"Waste",'Movements'!$G$3:$G$1002,$C157)+SUMIFS('Movements'!$F$3:$F$1002,'Movements'!$B$3:$B$1002,$A157,'Movements'!$E$3:$E$1002,"Transfer",'Movements'!$H$3:$H$1002,$C157)-SUMIFS('Movements'!$F$3:$F$1002,'Movements'!$B$3:$B$1002,$A157,'Movements'!$E$3:$E$1002,"Transfer",'Movements'!$G$3:$G$1002,$C157))</f>
        <v/>
      </c>
      <c r="G157" s="15">
        <f>IF($A157="","",'Items'!$I157)</f>
        <v/>
      </c>
      <c r="H157" s="8">
        <f>IF(OR($A157="",$G157=""),"",IF($F157&lt;$G157,"Below minimum","OK"))</f>
        <v/>
      </c>
      <c r="I157" s="18">
        <f>IF($A157="","",IF(SUMPRODUCT(SMALL(('Batches'!$A$3:$A$302=$A157)*('Batches'!$G$3:$G$302=$C157)*('Batches'!$D$3:$D$302&gt;0)*('Batches'!$H$3:$H$302&gt;0)*'Batches'!$D$3:$D$302+(1-('Batches'!$A$3:$A$302=$A157)*('Batches'!$G$3:$G$302=$C157)*('Batches'!$D$3:$D$302&gt;0)*('Batches'!$H$3:$H$302&gt;0))*100000,1))&gt;=100000,"",SUMPRODUCT(SMALL(('Batches'!$A$3:$A$302=$A157)*('Batches'!$G$3:$G$302=$C157)*('Batches'!$D$3:$D$302&gt;0)*('Batches'!$H$3:$H$302&gt;0)*'Batches'!$D$3:$D$302+(1-('Batches'!$A$3:$A$302=$A157)*('Batches'!$G$3:$G$302=$C157)*('Batches'!$D$3:$D$302&gt;0)*('Batches'!$H$3:$H$302&gt;0))*100000,1))))</f>
        <v/>
      </c>
      <c r="J157" s="16">
        <f>IF($A157="","",SUMIFS('Batches'!$H$3:$H$302,'Batches'!$A$3:$A$302,$A157,'Batches'!$G$3:$G$302,$C157,'Batches'!$D$3:$D$302,"&gt;0",'Batches'!$D$3:$D$302,"&lt;="&amp;('Settings'!$B$6+'Settings'!$B$7)))</f>
        <v/>
      </c>
      <c r="K157" s="19">
        <f>IF($A157="","",'Items'!$F157)</f>
        <v/>
      </c>
      <c r="L157" s="19">
        <f>IF($A157="","",$F157*$K157)</f>
        <v/>
      </c>
      <c r="M157" s="16">
        <f>IF($A157="","",IF(AND($H157="Below minimum",OR('Order list'!$B$4="",$D157='Order list'!$B$4)),IFERROR(MATCH($D157,Suppliers,0),99)*10000+ROW(),""))</f>
        <v/>
      </c>
    </row>
    <row r="158">
      <c r="A158" s="8">
        <f>IF('Items'!$A158="","",'Items'!$A158)</f>
        <v/>
      </c>
      <c r="B158" s="8">
        <f>IF($A158="","",'Items'!$B158)</f>
        <v/>
      </c>
      <c r="C158" s="8">
        <f>IF($A158="","",'Items'!$K158)</f>
        <v/>
      </c>
      <c r="D158" s="8">
        <f>IF($A158="","",'Items'!$E158)</f>
        <v/>
      </c>
      <c r="E158" s="8">
        <f>IF($A158="","",'Items'!$D158)</f>
        <v/>
      </c>
      <c r="F158" s="16">
        <f>IF($A158="","",SUMIFS('Batches'!$E$3:$E$302,'Batches'!$A$3:$A$302,$A158,'Batches'!$G$3:$G$302,$C158)+SUMIFS('Movements'!$F$3:$F$1002,'Movements'!$B$3:$B$1002,$A158,'Movements'!$E$3:$E$1002,"In",'Movements'!$H$3:$H$1002,$C158)-SUMIFS('Movements'!$F$3:$F$1002,'Movements'!$B$3:$B$1002,$A158,'Movements'!$E$3:$E$1002,"Out",'Movements'!$G$3:$G$1002,$C158)-SUMIFS('Movements'!$F$3:$F$1002,'Movements'!$B$3:$B$1002,$A158,'Movements'!$E$3:$E$1002,"Waste",'Movements'!$G$3:$G$1002,$C158)+SUMIFS('Movements'!$F$3:$F$1002,'Movements'!$B$3:$B$1002,$A158,'Movements'!$E$3:$E$1002,"Transfer",'Movements'!$H$3:$H$1002,$C158)-SUMIFS('Movements'!$F$3:$F$1002,'Movements'!$B$3:$B$1002,$A158,'Movements'!$E$3:$E$1002,"Transfer",'Movements'!$G$3:$G$1002,$C158))</f>
        <v/>
      </c>
      <c r="G158" s="15">
        <f>IF($A158="","",'Items'!$I158)</f>
        <v/>
      </c>
      <c r="H158" s="8">
        <f>IF(OR($A158="",$G158=""),"",IF($F158&lt;$G158,"Below minimum","OK"))</f>
        <v/>
      </c>
      <c r="I158" s="18">
        <f>IF($A158="","",IF(SUMPRODUCT(SMALL(('Batches'!$A$3:$A$302=$A158)*('Batches'!$G$3:$G$302=$C158)*('Batches'!$D$3:$D$302&gt;0)*('Batches'!$H$3:$H$302&gt;0)*'Batches'!$D$3:$D$302+(1-('Batches'!$A$3:$A$302=$A158)*('Batches'!$G$3:$G$302=$C158)*('Batches'!$D$3:$D$302&gt;0)*('Batches'!$H$3:$H$302&gt;0))*100000,1))&gt;=100000,"",SUMPRODUCT(SMALL(('Batches'!$A$3:$A$302=$A158)*('Batches'!$G$3:$G$302=$C158)*('Batches'!$D$3:$D$302&gt;0)*('Batches'!$H$3:$H$302&gt;0)*'Batches'!$D$3:$D$302+(1-('Batches'!$A$3:$A$302=$A158)*('Batches'!$G$3:$G$302=$C158)*('Batches'!$D$3:$D$302&gt;0)*('Batches'!$H$3:$H$302&gt;0))*100000,1))))</f>
        <v/>
      </c>
      <c r="J158" s="16">
        <f>IF($A158="","",SUMIFS('Batches'!$H$3:$H$302,'Batches'!$A$3:$A$302,$A158,'Batches'!$G$3:$G$302,$C158,'Batches'!$D$3:$D$302,"&gt;0",'Batches'!$D$3:$D$302,"&lt;="&amp;('Settings'!$B$6+'Settings'!$B$7)))</f>
        <v/>
      </c>
      <c r="K158" s="19">
        <f>IF($A158="","",'Items'!$F158)</f>
        <v/>
      </c>
      <c r="L158" s="19">
        <f>IF($A158="","",$F158*$K158)</f>
        <v/>
      </c>
      <c r="M158" s="16">
        <f>IF($A158="","",IF(AND($H158="Below minimum",OR('Order list'!$B$4="",$D158='Order list'!$B$4)),IFERROR(MATCH($D158,Suppliers,0),99)*10000+ROW(),""))</f>
        <v/>
      </c>
    </row>
    <row r="159">
      <c r="A159" s="8">
        <f>IF('Items'!$A159="","",'Items'!$A159)</f>
        <v/>
      </c>
      <c r="B159" s="8">
        <f>IF($A159="","",'Items'!$B159)</f>
        <v/>
      </c>
      <c r="C159" s="8">
        <f>IF($A159="","",'Items'!$K159)</f>
        <v/>
      </c>
      <c r="D159" s="8">
        <f>IF($A159="","",'Items'!$E159)</f>
        <v/>
      </c>
      <c r="E159" s="8">
        <f>IF($A159="","",'Items'!$D159)</f>
        <v/>
      </c>
      <c r="F159" s="16">
        <f>IF($A159="","",SUMIFS('Batches'!$E$3:$E$302,'Batches'!$A$3:$A$302,$A159,'Batches'!$G$3:$G$302,$C159)+SUMIFS('Movements'!$F$3:$F$1002,'Movements'!$B$3:$B$1002,$A159,'Movements'!$E$3:$E$1002,"In",'Movements'!$H$3:$H$1002,$C159)-SUMIFS('Movements'!$F$3:$F$1002,'Movements'!$B$3:$B$1002,$A159,'Movements'!$E$3:$E$1002,"Out",'Movements'!$G$3:$G$1002,$C159)-SUMIFS('Movements'!$F$3:$F$1002,'Movements'!$B$3:$B$1002,$A159,'Movements'!$E$3:$E$1002,"Waste",'Movements'!$G$3:$G$1002,$C159)+SUMIFS('Movements'!$F$3:$F$1002,'Movements'!$B$3:$B$1002,$A159,'Movements'!$E$3:$E$1002,"Transfer",'Movements'!$H$3:$H$1002,$C159)-SUMIFS('Movements'!$F$3:$F$1002,'Movements'!$B$3:$B$1002,$A159,'Movements'!$E$3:$E$1002,"Transfer",'Movements'!$G$3:$G$1002,$C159))</f>
        <v/>
      </c>
      <c r="G159" s="15">
        <f>IF($A159="","",'Items'!$I159)</f>
        <v/>
      </c>
      <c r="H159" s="8">
        <f>IF(OR($A159="",$G159=""),"",IF($F159&lt;$G159,"Below minimum","OK"))</f>
        <v/>
      </c>
      <c r="I159" s="18">
        <f>IF($A159="","",IF(SUMPRODUCT(SMALL(('Batches'!$A$3:$A$302=$A159)*('Batches'!$G$3:$G$302=$C159)*('Batches'!$D$3:$D$302&gt;0)*('Batches'!$H$3:$H$302&gt;0)*'Batches'!$D$3:$D$302+(1-('Batches'!$A$3:$A$302=$A159)*('Batches'!$G$3:$G$302=$C159)*('Batches'!$D$3:$D$302&gt;0)*('Batches'!$H$3:$H$302&gt;0))*100000,1))&gt;=100000,"",SUMPRODUCT(SMALL(('Batches'!$A$3:$A$302=$A159)*('Batches'!$G$3:$G$302=$C159)*('Batches'!$D$3:$D$302&gt;0)*('Batches'!$H$3:$H$302&gt;0)*'Batches'!$D$3:$D$302+(1-('Batches'!$A$3:$A$302=$A159)*('Batches'!$G$3:$G$302=$C159)*('Batches'!$D$3:$D$302&gt;0)*('Batches'!$H$3:$H$302&gt;0))*100000,1))))</f>
        <v/>
      </c>
      <c r="J159" s="16">
        <f>IF($A159="","",SUMIFS('Batches'!$H$3:$H$302,'Batches'!$A$3:$A$302,$A159,'Batches'!$G$3:$G$302,$C159,'Batches'!$D$3:$D$302,"&gt;0",'Batches'!$D$3:$D$302,"&lt;="&amp;('Settings'!$B$6+'Settings'!$B$7)))</f>
        <v/>
      </c>
      <c r="K159" s="19">
        <f>IF($A159="","",'Items'!$F159)</f>
        <v/>
      </c>
      <c r="L159" s="19">
        <f>IF($A159="","",$F159*$K159)</f>
        <v/>
      </c>
      <c r="M159" s="16">
        <f>IF($A159="","",IF(AND($H159="Below minimum",OR('Order list'!$B$4="",$D159='Order list'!$B$4)),IFERROR(MATCH($D159,Suppliers,0),99)*10000+ROW(),""))</f>
        <v/>
      </c>
    </row>
    <row r="160">
      <c r="A160" s="8">
        <f>IF('Items'!$A160="","",'Items'!$A160)</f>
        <v/>
      </c>
      <c r="B160" s="8">
        <f>IF($A160="","",'Items'!$B160)</f>
        <v/>
      </c>
      <c r="C160" s="8">
        <f>IF($A160="","",'Items'!$K160)</f>
        <v/>
      </c>
      <c r="D160" s="8">
        <f>IF($A160="","",'Items'!$E160)</f>
        <v/>
      </c>
      <c r="E160" s="8">
        <f>IF($A160="","",'Items'!$D160)</f>
        <v/>
      </c>
      <c r="F160" s="16">
        <f>IF($A160="","",SUMIFS('Batches'!$E$3:$E$302,'Batches'!$A$3:$A$302,$A160,'Batches'!$G$3:$G$302,$C160)+SUMIFS('Movements'!$F$3:$F$1002,'Movements'!$B$3:$B$1002,$A160,'Movements'!$E$3:$E$1002,"In",'Movements'!$H$3:$H$1002,$C160)-SUMIFS('Movements'!$F$3:$F$1002,'Movements'!$B$3:$B$1002,$A160,'Movements'!$E$3:$E$1002,"Out",'Movements'!$G$3:$G$1002,$C160)-SUMIFS('Movements'!$F$3:$F$1002,'Movements'!$B$3:$B$1002,$A160,'Movements'!$E$3:$E$1002,"Waste",'Movements'!$G$3:$G$1002,$C160)+SUMIFS('Movements'!$F$3:$F$1002,'Movements'!$B$3:$B$1002,$A160,'Movements'!$E$3:$E$1002,"Transfer",'Movements'!$H$3:$H$1002,$C160)-SUMIFS('Movements'!$F$3:$F$1002,'Movements'!$B$3:$B$1002,$A160,'Movements'!$E$3:$E$1002,"Transfer",'Movements'!$G$3:$G$1002,$C160))</f>
        <v/>
      </c>
      <c r="G160" s="15">
        <f>IF($A160="","",'Items'!$I160)</f>
        <v/>
      </c>
      <c r="H160" s="8">
        <f>IF(OR($A160="",$G160=""),"",IF($F160&lt;$G160,"Below minimum","OK"))</f>
        <v/>
      </c>
      <c r="I160" s="18">
        <f>IF($A160="","",IF(SUMPRODUCT(SMALL(('Batches'!$A$3:$A$302=$A160)*('Batches'!$G$3:$G$302=$C160)*('Batches'!$D$3:$D$302&gt;0)*('Batches'!$H$3:$H$302&gt;0)*'Batches'!$D$3:$D$302+(1-('Batches'!$A$3:$A$302=$A160)*('Batches'!$G$3:$G$302=$C160)*('Batches'!$D$3:$D$302&gt;0)*('Batches'!$H$3:$H$302&gt;0))*100000,1))&gt;=100000,"",SUMPRODUCT(SMALL(('Batches'!$A$3:$A$302=$A160)*('Batches'!$G$3:$G$302=$C160)*('Batches'!$D$3:$D$302&gt;0)*('Batches'!$H$3:$H$302&gt;0)*'Batches'!$D$3:$D$302+(1-('Batches'!$A$3:$A$302=$A160)*('Batches'!$G$3:$G$302=$C160)*('Batches'!$D$3:$D$302&gt;0)*('Batches'!$H$3:$H$302&gt;0))*100000,1))))</f>
        <v/>
      </c>
      <c r="J160" s="16">
        <f>IF($A160="","",SUMIFS('Batches'!$H$3:$H$302,'Batches'!$A$3:$A$302,$A160,'Batches'!$G$3:$G$302,$C160,'Batches'!$D$3:$D$302,"&gt;0",'Batches'!$D$3:$D$302,"&lt;="&amp;('Settings'!$B$6+'Settings'!$B$7)))</f>
        <v/>
      </c>
      <c r="K160" s="19">
        <f>IF($A160="","",'Items'!$F160)</f>
        <v/>
      </c>
      <c r="L160" s="19">
        <f>IF($A160="","",$F160*$K160)</f>
        <v/>
      </c>
      <c r="M160" s="16">
        <f>IF($A160="","",IF(AND($H160="Below minimum",OR('Order list'!$B$4="",$D160='Order list'!$B$4)),IFERROR(MATCH($D160,Suppliers,0),99)*10000+ROW(),""))</f>
        <v/>
      </c>
    </row>
    <row r="161">
      <c r="A161" s="8">
        <f>IF('Items'!$A161="","",'Items'!$A161)</f>
        <v/>
      </c>
      <c r="B161" s="8">
        <f>IF($A161="","",'Items'!$B161)</f>
        <v/>
      </c>
      <c r="C161" s="8">
        <f>IF($A161="","",'Items'!$K161)</f>
        <v/>
      </c>
      <c r="D161" s="8">
        <f>IF($A161="","",'Items'!$E161)</f>
        <v/>
      </c>
      <c r="E161" s="8">
        <f>IF($A161="","",'Items'!$D161)</f>
        <v/>
      </c>
      <c r="F161" s="16">
        <f>IF($A161="","",SUMIFS('Batches'!$E$3:$E$302,'Batches'!$A$3:$A$302,$A161,'Batches'!$G$3:$G$302,$C161)+SUMIFS('Movements'!$F$3:$F$1002,'Movements'!$B$3:$B$1002,$A161,'Movements'!$E$3:$E$1002,"In",'Movements'!$H$3:$H$1002,$C161)-SUMIFS('Movements'!$F$3:$F$1002,'Movements'!$B$3:$B$1002,$A161,'Movements'!$E$3:$E$1002,"Out",'Movements'!$G$3:$G$1002,$C161)-SUMIFS('Movements'!$F$3:$F$1002,'Movements'!$B$3:$B$1002,$A161,'Movements'!$E$3:$E$1002,"Waste",'Movements'!$G$3:$G$1002,$C161)+SUMIFS('Movements'!$F$3:$F$1002,'Movements'!$B$3:$B$1002,$A161,'Movements'!$E$3:$E$1002,"Transfer",'Movements'!$H$3:$H$1002,$C161)-SUMIFS('Movements'!$F$3:$F$1002,'Movements'!$B$3:$B$1002,$A161,'Movements'!$E$3:$E$1002,"Transfer",'Movements'!$G$3:$G$1002,$C161))</f>
        <v/>
      </c>
      <c r="G161" s="15">
        <f>IF($A161="","",'Items'!$I161)</f>
        <v/>
      </c>
      <c r="H161" s="8">
        <f>IF(OR($A161="",$G161=""),"",IF($F161&lt;$G161,"Below minimum","OK"))</f>
        <v/>
      </c>
      <c r="I161" s="18">
        <f>IF($A161="","",IF(SUMPRODUCT(SMALL(('Batches'!$A$3:$A$302=$A161)*('Batches'!$G$3:$G$302=$C161)*('Batches'!$D$3:$D$302&gt;0)*('Batches'!$H$3:$H$302&gt;0)*'Batches'!$D$3:$D$302+(1-('Batches'!$A$3:$A$302=$A161)*('Batches'!$G$3:$G$302=$C161)*('Batches'!$D$3:$D$302&gt;0)*('Batches'!$H$3:$H$302&gt;0))*100000,1))&gt;=100000,"",SUMPRODUCT(SMALL(('Batches'!$A$3:$A$302=$A161)*('Batches'!$G$3:$G$302=$C161)*('Batches'!$D$3:$D$302&gt;0)*('Batches'!$H$3:$H$302&gt;0)*'Batches'!$D$3:$D$302+(1-('Batches'!$A$3:$A$302=$A161)*('Batches'!$G$3:$G$302=$C161)*('Batches'!$D$3:$D$302&gt;0)*('Batches'!$H$3:$H$302&gt;0))*100000,1))))</f>
        <v/>
      </c>
      <c r="J161" s="16">
        <f>IF($A161="","",SUMIFS('Batches'!$H$3:$H$302,'Batches'!$A$3:$A$302,$A161,'Batches'!$G$3:$G$302,$C161,'Batches'!$D$3:$D$302,"&gt;0",'Batches'!$D$3:$D$302,"&lt;="&amp;('Settings'!$B$6+'Settings'!$B$7)))</f>
        <v/>
      </c>
      <c r="K161" s="19">
        <f>IF($A161="","",'Items'!$F161)</f>
        <v/>
      </c>
      <c r="L161" s="19">
        <f>IF($A161="","",$F161*$K161)</f>
        <v/>
      </c>
      <c r="M161" s="16">
        <f>IF($A161="","",IF(AND($H161="Below minimum",OR('Order list'!$B$4="",$D161='Order list'!$B$4)),IFERROR(MATCH($D161,Suppliers,0),99)*10000+ROW(),""))</f>
        <v/>
      </c>
    </row>
    <row r="162">
      <c r="A162" s="8">
        <f>IF('Items'!$A162="","",'Items'!$A162)</f>
        <v/>
      </c>
      <c r="B162" s="8">
        <f>IF($A162="","",'Items'!$B162)</f>
        <v/>
      </c>
      <c r="C162" s="8">
        <f>IF($A162="","",'Items'!$K162)</f>
        <v/>
      </c>
      <c r="D162" s="8">
        <f>IF($A162="","",'Items'!$E162)</f>
        <v/>
      </c>
      <c r="E162" s="8">
        <f>IF($A162="","",'Items'!$D162)</f>
        <v/>
      </c>
      <c r="F162" s="16">
        <f>IF($A162="","",SUMIFS('Batches'!$E$3:$E$302,'Batches'!$A$3:$A$302,$A162,'Batches'!$G$3:$G$302,$C162)+SUMIFS('Movements'!$F$3:$F$1002,'Movements'!$B$3:$B$1002,$A162,'Movements'!$E$3:$E$1002,"In",'Movements'!$H$3:$H$1002,$C162)-SUMIFS('Movements'!$F$3:$F$1002,'Movements'!$B$3:$B$1002,$A162,'Movements'!$E$3:$E$1002,"Out",'Movements'!$G$3:$G$1002,$C162)-SUMIFS('Movements'!$F$3:$F$1002,'Movements'!$B$3:$B$1002,$A162,'Movements'!$E$3:$E$1002,"Waste",'Movements'!$G$3:$G$1002,$C162)+SUMIFS('Movements'!$F$3:$F$1002,'Movements'!$B$3:$B$1002,$A162,'Movements'!$E$3:$E$1002,"Transfer",'Movements'!$H$3:$H$1002,$C162)-SUMIFS('Movements'!$F$3:$F$1002,'Movements'!$B$3:$B$1002,$A162,'Movements'!$E$3:$E$1002,"Transfer",'Movements'!$G$3:$G$1002,$C162))</f>
        <v/>
      </c>
      <c r="G162" s="15">
        <f>IF($A162="","",'Items'!$I162)</f>
        <v/>
      </c>
      <c r="H162" s="8">
        <f>IF(OR($A162="",$G162=""),"",IF($F162&lt;$G162,"Below minimum","OK"))</f>
        <v/>
      </c>
      <c r="I162" s="18">
        <f>IF($A162="","",IF(SUMPRODUCT(SMALL(('Batches'!$A$3:$A$302=$A162)*('Batches'!$G$3:$G$302=$C162)*('Batches'!$D$3:$D$302&gt;0)*('Batches'!$H$3:$H$302&gt;0)*'Batches'!$D$3:$D$302+(1-('Batches'!$A$3:$A$302=$A162)*('Batches'!$G$3:$G$302=$C162)*('Batches'!$D$3:$D$302&gt;0)*('Batches'!$H$3:$H$302&gt;0))*100000,1))&gt;=100000,"",SUMPRODUCT(SMALL(('Batches'!$A$3:$A$302=$A162)*('Batches'!$G$3:$G$302=$C162)*('Batches'!$D$3:$D$302&gt;0)*('Batches'!$H$3:$H$302&gt;0)*'Batches'!$D$3:$D$302+(1-('Batches'!$A$3:$A$302=$A162)*('Batches'!$G$3:$G$302=$C162)*('Batches'!$D$3:$D$302&gt;0)*('Batches'!$H$3:$H$302&gt;0))*100000,1))))</f>
        <v/>
      </c>
      <c r="J162" s="16">
        <f>IF($A162="","",SUMIFS('Batches'!$H$3:$H$302,'Batches'!$A$3:$A$302,$A162,'Batches'!$G$3:$G$302,$C162,'Batches'!$D$3:$D$302,"&gt;0",'Batches'!$D$3:$D$302,"&lt;="&amp;('Settings'!$B$6+'Settings'!$B$7)))</f>
        <v/>
      </c>
      <c r="K162" s="19">
        <f>IF($A162="","",'Items'!$F162)</f>
        <v/>
      </c>
      <c r="L162" s="19">
        <f>IF($A162="","",$F162*$K162)</f>
        <v/>
      </c>
      <c r="M162" s="16">
        <f>IF($A162="","",IF(AND($H162="Below minimum",OR('Order list'!$B$4="",$D162='Order list'!$B$4)),IFERROR(MATCH($D162,Suppliers,0),99)*10000+ROW(),""))</f>
        <v/>
      </c>
    </row>
    <row r="163">
      <c r="A163" s="8">
        <f>IF('Items'!$A163="","",'Items'!$A163)</f>
        <v/>
      </c>
      <c r="B163" s="8">
        <f>IF($A163="","",'Items'!$B163)</f>
        <v/>
      </c>
      <c r="C163" s="8">
        <f>IF($A163="","",'Items'!$K163)</f>
        <v/>
      </c>
      <c r="D163" s="8">
        <f>IF($A163="","",'Items'!$E163)</f>
        <v/>
      </c>
      <c r="E163" s="8">
        <f>IF($A163="","",'Items'!$D163)</f>
        <v/>
      </c>
      <c r="F163" s="16">
        <f>IF($A163="","",SUMIFS('Batches'!$E$3:$E$302,'Batches'!$A$3:$A$302,$A163,'Batches'!$G$3:$G$302,$C163)+SUMIFS('Movements'!$F$3:$F$1002,'Movements'!$B$3:$B$1002,$A163,'Movements'!$E$3:$E$1002,"In",'Movements'!$H$3:$H$1002,$C163)-SUMIFS('Movements'!$F$3:$F$1002,'Movements'!$B$3:$B$1002,$A163,'Movements'!$E$3:$E$1002,"Out",'Movements'!$G$3:$G$1002,$C163)-SUMIFS('Movements'!$F$3:$F$1002,'Movements'!$B$3:$B$1002,$A163,'Movements'!$E$3:$E$1002,"Waste",'Movements'!$G$3:$G$1002,$C163)+SUMIFS('Movements'!$F$3:$F$1002,'Movements'!$B$3:$B$1002,$A163,'Movements'!$E$3:$E$1002,"Transfer",'Movements'!$H$3:$H$1002,$C163)-SUMIFS('Movements'!$F$3:$F$1002,'Movements'!$B$3:$B$1002,$A163,'Movements'!$E$3:$E$1002,"Transfer",'Movements'!$G$3:$G$1002,$C163))</f>
        <v/>
      </c>
      <c r="G163" s="15">
        <f>IF($A163="","",'Items'!$I163)</f>
        <v/>
      </c>
      <c r="H163" s="8">
        <f>IF(OR($A163="",$G163=""),"",IF($F163&lt;$G163,"Below minimum","OK"))</f>
        <v/>
      </c>
      <c r="I163" s="18">
        <f>IF($A163="","",IF(SUMPRODUCT(SMALL(('Batches'!$A$3:$A$302=$A163)*('Batches'!$G$3:$G$302=$C163)*('Batches'!$D$3:$D$302&gt;0)*('Batches'!$H$3:$H$302&gt;0)*'Batches'!$D$3:$D$302+(1-('Batches'!$A$3:$A$302=$A163)*('Batches'!$G$3:$G$302=$C163)*('Batches'!$D$3:$D$302&gt;0)*('Batches'!$H$3:$H$302&gt;0))*100000,1))&gt;=100000,"",SUMPRODUCT(SMALL(('Batches'!$A$3:$A$302=$A163)*('Batches'!$G$3:$G$302=$C163)*('Batches'!$D$3:$D$302&gt;0)*('Batches'!$H$3:$H$302&gt;0)*'Batches'!$D$3:$D$302+(1-('Batches'!$A$3:$A$302=$A163)*('Batches'!$G$3:$G$302=$C163)*('Batches'!$D$3:$D$302&gt;0)*('Batches'!$H$3:$H$302&gt;0))*100000,1))))</f>
        <v/>
      </c>
      <c r="J163" s="16">
        <f>IF($A163="","",SUMIFS('Batches'!$H$3:$H$302,'Batches'!$A$3:$A$302,$A163,'Batches'!$G$3:$G$302,$C163,'Batches'!$D$3:$D$302,"&gt;0",'Batches'!$D$3:$D$302,"&lt;="&amp;('Settings'!$B$6+'Settings'!$B$7)))</f>
        <v/>
      </c>
      <c r="K163" s="19">
        <f>IF($A163="","",'Items'!$F163)</f>
        <v/>
      </c>
      <c r="L163" s="19">
        <f>IF($A163="","",$F163*$K163)</f>
        <v/>
      </c>
      <c r="M163" s="16">
        <f>IF($A163="","",IF(AND($H163="Below minimum",OR('Order list'!$B$4="",$D163='Order list'!$B$4)),IFERROR(MATCH($D163,Suppliers,0),99)*10000+ROW(),""))</f>
        <v/>
      </c>
    </row>
    <row r="164">
      <c r="A164" s="8">
        <f>IF('Items'!$A164="","",'Items'!$A164)</f>
        <v/>
      </c>
      <c r="B164" s="8">
        <f>IF($A164="","",'Items'!$B164)</f>
        <v/>
      </c>
      <c r="C164" s="8">
        <f>IF($A164="","",'Items'!$K164)</f>
        <v/>
      </c>
      <c r="D164" s="8">
        <f>IF($A164="","",'Items'!$E164)</f>
        <v/>
      </c>
      <c r="E164" s="8">
        <f>IF($A164="","",'Items'!$D164)</f>
        <v/>
      </c>
      <c r="F164" s="16">
        <f>IF($A164="","",SUMIFS('Batches'!$E$3:$E$302,'Batches'!$A$3:$A$302,$A164,'Batches'!$G$3:$G$302,$C164)+SUMIFS('Movements'!$F$3:$F$1002,'Movements'!$B$3:$B$1002,$A164,'Movements'!$E$3:$E$1002,"In",'Movements'!$H$3:$H$1002,$C164)-SUMIFS('Movements'!$F$3:$F$1002,'Movements'!$B$3:$B$1002,$A164,'Movements'!$E$3:$E$1002,"Out",'Movements'!$G$3:$G$1002,$C164)-SUMIFS('Movements'!$F$3:$F$1002,'Movements'!$B$3:$B$1002,$A164,'Movements'!$E$3:$E$1002,"Waste",'Movements'!$G$3:$G$1002,$C164)+SUMIFS('Movements'!$F$3:$F$1002,'Movements'!$B$3:$B$1002,$A164,'Movements'!$E$3:$E$1002,"Transfer",'Movements'!$H$3:$H$1002,$C164)-SUMIFS('Movements'!$F$3:$F$1002,'Movements'!$B$3:$B$1002,$A164,'Movements'!$E$3:$E$1002,"Transfer",'Movements'!$G$3:$G$1002,$C164))</f>
        <v/>
      </c>
      <c r="G164" s="15">
        <f>IF($A164="","",'Items'!$I164)</f>
        <v/>
      </c>
      <c r="H164" s="8">
        <f>IF(OR($A164="",$G164=""),"",IF($F164&lt;$G164,"Below minimum","OK"))</f>
        <v/>
      </c>
      <c r="I164" s="18">
        <f>IF($A164="","",IF(SUMPRODUCT(SMALL(('Batches'!$A$3:$A$302=$A164)*('Batches'!$G$3:$G$302=$C164)*('Batches'!$D$3:$D$302&gt;0)*('Batches'!$H$3:$H$302&gt;0)*'Batches'!$D$3:$D$302+(1-('Batches'!$A$3:$A$302=$A164)*('Batches'!$G$3:$G$302=$C164)*('Batches'!$D$3:$D$302&gt;0)*('Batches'!$H$3:$H$302&gt;0))*100000,1))&gt;=100000,"",SUMPRODUCT(SMALL(('Batches'!$A$3:$A$302=$A164)*('Batches'!$G$3:$G$302=$C164)*('Batches'!$D$3:$D$302&gt;0)*('Batches'!$H$3:$H$302&gt;0)*'Batches'!$D$3:$D$302+(1-('Batches'!$A$3:$A$302=$A164)*('Batches'!$G$3:$G$302=$C164)*('Batches'!$D$3:$D$302&gt;0)*('Batches'!$H$3:$H$302&gt;0))*100000,1))))</f>
        <v/>
      </c>
      <c r="J164" s="16">
        <f>IF($A164="","",SUMIFS('Batches'!$H$3:$H$302,'Batches'!$A$3:$A$302,$A164,'Batches'!$G$3:$G$302,$C164,'Batches'!$D$3:$D$302,"&gt;0",'Batches'!$D$3:$D$302,"&lt;="&amp;('Settings'!$B$6+'Settings'!$B$7)))</f>
        <v/>
      </c>
      <c r="K164" s="19">
        <f>IF($A164="","",'Items'!$F164)</f>
        <v/>
      </c>
      <c r="L164" s="19">
        <f>IF($A164="","",$F164*$K164)</f>
        <v/>
      </c>
      <c r="M164" s="16">
        <f>IF($A164="","",IF(AND($H164="Below minimum",OR('Order list'!$B$4="",$D164='Order list'!$B$4)),IFERROR(MATCH($D164,Suppliers,0),99)*10000+ROW(),""))</f>
        <v/>
      </c>
    </row>
    <row r="165">
      <c r="A165" s="8">
        <f>IF('Items'!$A165="","",'Items'!$A165)</f>
        <v/>
      </c>
      <c r="B165" s="8">
        <f>IF($A165="","",'Items'!$B165)</f>
        <v/>
      </c>
      <c r="C165" s="8">
        <f>IF($A165="","",'Items'!$K165)</f>
        <v/>
      </c>
      <c r="D165" s="8">
        <f>IF($A165="","",'Items'!$E165)</f>
        <v/>
      </c>
      <c r="E165" s="8">
        <f>IF($A165="","",'Items'!$D165)</f>
        <v/>
      </c>
      <c r="F165" s="16">
        <f>IF($A165="","",SUMIFS('Batches'!$E$3:$E$302,'Batches'!$A$3:$A$302,$A165,'Batches'!$G$3:$G$302,$C165)+SUMIFS('Movements'!$F$3:$F$1002,'Movements'!$B$3:$B$1002,$A165,'Movements'!$E$3:$E$1002,"In",'Movements'!$H$3:$H$1002,$C165)-SUMIFS('Movements'!$F$3:$F$1002,'Movements'!$B$3:$B$1002,$A165,'Movements'!$E$3:$E$1002,"Out",'Movements'!$G$3:$G$1002,$C165)-SUMIFS('Movements'!$F$3:$F$1002,'Movements'!$B$3:$B$1002,$A165,'Movements'!$E$3:$E$1002,"Waste",'Movements'!$G$3:$G$1002,$C165)+SUMIFS('Movements'!$F$3:$F$1002,'Movements'!$B$3:$B$1002,$A165,'Movements'!$E$3:$E$1002,"Transfer",'Movements'!$H$3:$H$1002,$C165)-SUMIFS('Movements'!$F$3:$F$1002,'Movements'!$B$3:$B$1002,$A165,'Movements'!$E$3:$E$1002,"Transfer",'Movements'!$G$3:$G$1002,$C165))</f>
        <v/>
      </c>
      <c r="G165" s="15">
        <f>IF($A165="","",'Items'!$I165)</f>
        <v/>
      </c>
      <c r="H165" s="8">
        <f>IF(OR($A165="",$G165=""),"",IF($F165&lt;$G165,"Below minimum","OK"))</f>
        <v/>
      </c>
      <c r="I165" s="18">
        <f>IF($A165="","",IF(SUMPRODUCT(SMALL(('Batches'!$A$3:$A$302=$A165)*('Batches'!$G$3:$G$302=$C165)*('Batches'!$D$3:$D$302&gt;0)*('Batches'!$H$3:$H$302&gt;0)*'Batches'!$D$3:$D$302+(1-('Batches'!$A$3:$A$302=$A165)*('Batches'!$G$3:$G$302=$C165)*('Batches'!$D$3:$D$302&gt;0)*('Batches'!$H$3:$H$302&gt;0))*100000,1))&gt;=100000,"",SUMPRODUCT(SMALL(('Batches'!$A$3:$A$302=$A165)*('Batches'!$G$3:$G$302=$C165)*('Batches'!$D$3:$D$302&gt;0)*('Batches'!$H$3:$H$302&gt;0)*'Batches'!$D$3:$D$302+(1-('Batches'!$A$3:$A$302=$A165)*('Batches'!$G$3:$G$302=$C165)*('Batches'!$D$3:$D$302&gt;0)*('Batches'!$H$3:$H$302&gt;0))*100000,1))))</f>
        <v/>
      </c>
      <c r="J165" s="16">
        <f>IF($A165="","",SUMIFS('Batches'!$H$3:$H$302,'Batches'!$A$3:$A$302,$A165,'Batches'!$G$3:$G$302,$C165,'Batches'!$D$3:$D$302,"&gt;0",'Batches'!$D$3:$D$302,"&lt;="&amp;('Settings'!$B$6+'Settings'!$B$7)))</f>
        <v/>
      </c>
      <c r="K165" s="19">
        <f>IF($A165="","",'Items'!$F165)</f>
        <v/>
      </c>
      <c r="L165" s="19">
        <f>IF($A165="","",$F165*$K165)</f>
        <v/>
      </c>
      <c r="M165" s="16">
        <f>IF($A165="","",IF(AND($H165="Below minimum",OR('Order list'!$B$4="",$D165='Order list'!$B$4)),IFERROR(MATCH($D165,Suppliers,0),99)*10000+ROW(),""))</f>
        <v/>
      </c>
    </row>
    <row r="166">
      <c r="A166" s="8">
        <f>IF('Items'!$A166="","",'Items'!$A166)</f>
        <v/>
      </c>
      <c r="B166" s="8">
        <f>IF($A166="","",'Items'!$B166)</f>
        <v/>
      </c>
      <c r="C166" s="8">
        <f>IF($A166="","",'Items'!$K166)</f>
        <v/>
      </c>
      <c r="D166" s="8">
        <f>IF($A166="","",'Items'!$E166)</f>
        <v/>
      </c>
      <c r="E166" s="8">
        <f>IF($A166="","",'Items'!$D166)</f>
        <v/>
      </c>
      <c r="F166" s="16">
        <f>IF($A166="","",SUMIFS('Batches'!$E$3:$E$302,'Batches'!$A$3:$A$302,$A166,'Batches'!$G$3:$G$302,$C166)+SUMIFS('Movements'!$F$3:$F$1002,'Movements'!$B$3:$B$1002,$A166,'Movements'!$E$3:$E$1002,"In",'Movements'!$H$3:$H$1002,$C166)-SUMIFS('Movements'!$F$3:$F$1002,'Movements'!$B$3:$B$1002,$A166,'Movements'!$E$3:$E$1002,"Out",'Movements'!$G$3:$G$1002,$C166)-SUMIFS('Movements'!$F$3:$F$1002,'Movements'!$B$3:$B$1002,$A166,'Movements'!$E$3:$E$1002,"Waste",'Movements'!$G$3:$G$1002,$C166)+SUMIFS('Movements'!$F$3:$F$1002,'Movements'!$B$3:$B$1002,$A166,'Movements'!$E$3:$E$1002,"Transfer",'Movements'!$H$3:$H$1002,$C166)-SUMIFS('Movements'!$F$3:$F$1002,'Movements'!$B$3:$B$1002,$A166,'Movements'!$E$3:$E$1002,"Transfer",'Movements'!$G$3:$G$1002,$C166))</f>
        <v/>
      </c>
      <c r="G166" s="15">
        <f>IF($A166="","",'Items'!$I166)</f>
        <v/>
      </c>
      <c r="H166" s="8">
        <f>IF(OR($A166="",$G166=""),"",IF($F166&lt;$G166,"Below minimum","OK"))</f>
        <v/>
      </c>
      <c r="I166" s="18">
        <f>IF($A166="","",IF(SUMPRODUCT(SMALL(('Batches'!$A$3:$A$302=$A166)*('Batches'!$G$3:$G$302=$C166)*('Batches'!$D$3:$D$302&gt;0)*('Batches'!$H$3:$H$302&gt;0)*'Batches'!$D$3:$D$302+(1-('Batches'!$A$3:$A$302=$A166)*('Batches'!$G$3:$G$302=$C166)*('Batches'!$D$3:$D$302&gt;0)*('Batches'!$H$3:$H$302&gt;0))*100000,1))&gt;=100000,"",SUMPRODUCT(SMALL(('Batches'!$A$3:$A$302=$A166)*('Batches'!$G$3:$G$302=$C166)*('Batches'!$D$3:$D$302&gt;0)*('Batches'!$H$3:$H$302&gt;0)*'Batches'!$D$3:$D$302+(1-('Batches'!$A$3:$A$302=$A166)*('Batches'!$G$3:$G$302=$C166)*('Batches'!$D$3:$D$302&gt;0)*('Batches'!$H$3:$H$302&gt;0))*100000,1))))</f>
        <v/>
      </c>
      <c r="J166" s="16">
        <f>IF($A166="","",SUMIFS('Batches'!$H$3:$H$302,'Batches'!$A$3:$A$302,$A166,'Batches'!$G$3:$G$302,$C166,'Batches'!$D$3:$D$302,"&gt;0",'Batches'!$D$3:$D$302,"&lt;="&amp;('Settings'!$B$6+'Settings'!$B$7)))</f>
        <v/>
      </c>
      <c r="K166" s="19">
        <f>IF($A166="","",'Items'!$F166)</f>
        <v/>
      </c>
      <c r="L166" s="19">
        <f>IF($A166="","",$F166*$K166)</f>
        <v/>
      </c>
      <c r="M166" s="16">
        <f>IF($A166="","",IF(AND($H166="Below minimum",OR('Order list'!$B$4="",$D166='Order list'!$B$4)),IFERROR(MATCH($D166,Suppliers,0),99)*10000+ROW(),""))</f>
        <v/>
      </c>
    </row>
    <row r="167">
      <c r="A167" s="8">
        <f>IF('Items'!$A167="","",'Items'!$A167)</f>
        <v/>
      </c>
      <c r="B167" s="8">
        <f>IF($A167="","",'Items'!$B167)</f>
        <v/>
      </c>
      <c r="C167" s="8">
        <f>IF($A167="","",'Items'!$K167)</f>
        <v/>
      </c>
      <c r="D167" s="8">
        <f>IF($A167="","",'Items'!$E167)</f>
        <v/>
      </c>
      <c r="E167" s="8">
        <f>IF($A167="","",'Items'!$D167)</f>
        <v/>
      </c>
      <c r="F167" s="16">
        <f>IF($A167="","",SUMIFS('Batches'!$E$3:$E$302,'Batches'!$A$3:$A$302,$A167,'Batches'!$G$3:$G$302,$C167)+SUMIFS('Movements'!$F$3:$F$1002,'Movements'!$B$3:$B$1002,$A167,'Movements'!$E$3:$E$1002,"In",'Movements'!$H$3:$H$1002,$C167)-SUMIFS('Movements'!$F$3:$F$1002,'Movements'!$B$3:$B$1002,$A167,'Movements'!$E$3:$E$1002,"Out",'Movements'!$G$3:$G$1002,$C167)-SUMIFS('Movements'!$F$3:$F$1002,'Movements'!$B$3:$B$1002,$A167,'Movements'!$E$3:$E$1002,"Waste",'Movements'!$G$3:$G$1002,$C167)+SUMIFS('Movements'!$F$3:$F$1002,'Movements'!$B$3:$B$1002,$A167,'Movements'!$E$3:$E$1002,"Transfer",'Movements'!$H$3:$H$1002,$C167)-SUMIFS('Movements'!$F$3:$F$1002,'Movements'!$B$3:$B$1002,$A167,'Movements'!$E$3:$E$1002,"Transfer",'Movements'!$G$3:$G$1002,$C167))</f>
        <v/>
      </c>
      <c r="G167" s="15">
        <f>IF($A167="","",'Items'!$I167)</f>
        <v/>
      </c>
      <c r="H167" s="8">
        <f>IF(OR($A167="",$G167=""),"",IF($F167&lt;$G167,"Below minimum","OK"))</f>
        <v/>
      </c>
      <c r="I167" s="18">
        <f>IF($A167="","",IF(SUMPRODUCT(SMALL(('Batches'!$A$3:$A$302=$A167)*('Batches'!$G$3:$G$302=$C167)*('Batches'!$D$3:$D$302&gt;0)*('Batches'!$H$3:$H$302&gt;0)*'Batches'!$D$3:$D$302+(1-('Batches'!$A$3:$A$302=$A167)*('Batches'!$G$3:$G$302=$C167)*('Batches'!$D$3:$D$302&gt;0)*('Batches'!$H$3:$H$302&gt;0))*100000,1))&gt;=100000,"",SUMPRODUCT(SMALL(('Batches'!$A$3:$A$302=$A167)*('Batches'!$G$3:$G$302=$C167)*('Batches'!$D$3:$D$302&gt;0)*('Batches'!$H$3:$H$302&gt;0)*'Batches'!$D$3:$D$302+(1-('Batches'!$A$3:$A$302=$A167)*('Batches'!$G$3:$G$302=$C167)*('Batches'!$D$3:$D$302&gt;0)*('Batches'!$H$3:$H$302&gt;0))*100000,1))))</f>
        <v/>
      </c>
      <c r="J167" s="16">
        <f>IF($A167="","",SUMIFS('Batches'!$H$3:$H$302,'Batches'!$A$3:$A$302,$A167,'Batches'!$G$3:$G$302,$C167,'Batches'!$D$3:$D$302,"&gt;0",'Batches'!$D$3:$D$302,"&lt;="&amp;('Settings'!$B$6+'Settings'!$B$7)))</f>
        <v/>
      </c>
      <c r="K167" s="19">
        <f>IF($A167="","",'Items'!$F167)</f>
        <v/>
      </c>
      <c r="L167" s="19">
        <f>IF($A167="","",$F167*$K167)</f>
        <v/>
      </c>
      <c r="M167" s="16">
        <f>IF($A167="","",IF(AND($H167="Below minimum",OR('Order list'!$B$4="",$D167='Order list'!$B$4)),IFERROR(MATCH($D167,Suppliers,0),99)*10000+ROW(),""))</f>
        <v/>
      </c>
    </row>
    <row r="168">
      <c r="A168" s="8">
        <f>IF('Items'!$A168="","",'Items'!$A168)</f>
        <v/>
      </c>
      <c r="B168" s="8">
        <f>IF($A168="","",'Items'!$B168)</f>
        <v/>
      </c>
      <c r="C168" s="8">
        <f>IF($A168="","",'Items'!$K168)</f>
        <v/>
      </c>
      <c r="D168" s="8">
        <f>IF($A168="","",'Items'!$E168)</f>
        <v/>
      </c>
      <c r="E168" s="8">
        <f>IF($A168="","",'Items'!$D168)</f>
        <v/>
      </c>
      <c r="F168" s="16">
        <f>IF($A168="","",SUMIFS('Batches'!$E$3:$E$302,'Batches'!$A$3:$A$302,$A168,'Batches'!$G$3:$G$302,$C168)+SUMIFS('Movements'!$F$3:$F$1002,'Movements'!$B$3:$B$1002,$A168,'Movements'!$E$3:$E$1002,"In",'Movements'!$H$3:$H$1002,$C168)-SUMIFS('Movements'!$F$3:$F$1002,'Movements'!$B$3:$B$1002,$A168,'Movements'!$E$3:$E$1002,"Out",'Movements'!$G$3:$G$1002,$C168)-SUMIFS('Movements'!$F$3:$F$1002,'Movements'!$B$3:$B$1002,$A168,'Movements'!$E$3:$E$1002,"Waste",'Movements'!$G$3:$G$1002,$C168)+SUMIFS('Movements'!$F$3:$F$1002,'Movements'!$B$3:$B$1002,$A168,'Movements'!$E$3:$E$1002,"Transfer",'Movements'!$H$3:$H$1002,$C168)-SUMIFS('Movements'!$F$3:$F$1002,'Movements'!$B$3:$B$1002,$A168,'Movements'!$E$3:$E$1002,"Transfer",'Movements'!$G$3:$G$1002,$C168))</f>
        <v/>
      </c>
      <c r="G168" s="15">
        <f>IF($A168="","",'Items'!$I168)</f>
        <v/>
      </c>
      <c r="H168" s="8">
        <f>IF(OR($A168="",$G168=""),"",IF($F168&lt;$G168,"Below minimum","OK"))</f>
        <v/>
      </c>
      <c r="I168" s="18">
        <f>IF($A168="","",IF(SUMPRODUCT(SMALL(('Batches'!$A$3:$A$302=$A168)*('Batches'!$G$3:$G$302=$C168)*('Batches'!$D$3:$D$302&gt;0)*('Batches'!$H$3:$H$302&gt;0)*'Batches'!$D$3:$D$302+(1-('Batches'!$A$3:$A$302=$A168)*('Batches'!$G$3:$G$302=$C168)*('Batches'!$D$3:$D$302&gt;0)*('Batches'!$H$3:$H$302&gt;0))*100000,1))&gt;=100000,"",SUMPRODUCT(SMALL(('Batches'!$A$3:$A$302=$A168)*('Batches'!$G$3:$G$302=$C168)*('Batches'!$D$3:$D$302&gt;0)*('Batches'!$H$3:$H$302&gt;0)*'Batches'!$D$3:$D$302+(1-('Batches'!$A$3:$A$302=$A168)*('Batches'!$G$3:$G$302=$C168)*('Batches'!$D$3:$D$302&gt;0)*('Batches'!$H$3:$H$302&gt;0))*100000,1))))</f>
        <v/>
      </c>
      <c r="J168" s="16">
        <f>IF($A168="","",SUMIFS('Batches'!$H$3:$H$302,'Batches'!$A$3:$A$302,$A168,'Batches'!$G$3:$G$302,$C168,'Batches'!$D$3:$D$302,"&gt;0",'Batches'!$D$3:$D$302,"&lt;="&amp;('Settings'!$B$6+'Settings'!$B$7)))</f>
        <v/>
      </c>
      <c r="K168" s="19">
        <f>IF($A168="","",'Items'!$F168)</f>
        <v/>
      </c>
      <c r="L168" s="19">
        <f>IF($A168="","",$F168*$K168)</f>
        <v/>
      </c>
      <c r="M168" s="16">
        <f>IF($A168="","",IF(AND($H168="Below minimum",OR('Order list'!$B$4="",$D168='Order list'!$B$4)),IFERROR(MATCH($D168,Suppliers,0),99)*10000+ROW(),""))</f>
        <v/>
      </c>
    </row>
    <row r="169">
      <c r="A169" s="8">
        <f>IF('Items'!$A169="","",'Items'!$A169)</f>
        <v/>
      </c>
      <c r="B169" s="8">
        <f>IF($A169="","",'Items'!$B169)</f>
        <v/>
      </c>
      <c r="C169" s="8">
        <f>IF($A169="","",'Items'!$K169)</f>
        <v/>
      </c>
      <c r="D169" s="8">
        <f>IF($A169="","",'Items'!$E169)</f>
        <v/>
      </c>
      <c r="E169" s="8">
        <f>IF($A169="","",'Items'!$D169)</f>
        <v/>
      </c>
      <c r="F169" s="16">
        <f>IF($A169="","",SUMIFS('Batches'!$E$3:$E$302,'Batches'!$A$3:$A$302,$A169,'Batches'!$G$3:$G$302,$C169)+SUMIFS('Movements'!$F$3:$F$1002,'Movements'!$B$3:$B$1002,$A169,'Movements'!$E$3:$E$1002,"In",'Movements'!$H$3:$H$1002,$C169)-SUMIFS('Movements'!$F$3:$F$1002,'Movements'!$B$3:$B$1002,$A169,'Movements'!$E$3:$E$1002,"Out",'Movements'!$G$3:$G$1002,$C169)-SUMIFS('Movements'!$F$3:$F$1002,'Movements'!$B$3:$B$1002,$A169,'Movements'!$E$3:$E$1002,"Waste",'Movements'!$G$3:$G$1002,$C169)+SUMIFS('Movements'!$F$3:$F$1002,'Movements'!$B$3:$B$1002,$A169,'Movements'!$E$3:$E$1002,"Transfer",'Movements'!$H$3:$H$1002,$C169)-SUMIFS('Movements'!$F$3:$F$1002,'Movements'!$B$3:$B$1002,$A169,'Movements'!$E$3:$E$1002,"Transfer",'Movements'!$G$3:$G$1002,$C169))</f>
        <v/>
      </c>
      <c r="G169" s="15">
        <f>IF($A169="","",'Items'!$I169)</f>
        <v/>
      </c>
      <c r="H169" s="8">
        <f>IF(OR($A169="",$G169=""),"",IF($F169&lt;$G169,"Below minimum","OK"))</f>
        <v/>
      </c>
      <c r="I169" s="18">
        <f>IF($A169="","",IF(SUMPRODUCT(SMALL(('Batches'!$A$3:$A$302=$A169)*('Batches'!$G$3:$G$302=$C169)*('Batches'!$D$3:$D$302&gt;0)*('Batches'!$H$3:$H$302&gt;0)*'Batches'!$D$3:$D$302+(1-('Batches'!$A$3:$A$302=$A169)*('Batches'!$G$3:$G$302=$C169)*('Batches'!$D$3:$D$302&gt;0)*('Batches'!$H$3:$H$302&gt;0))*100000,1))&gt;=100000,"",SUMPRODUCT(SMALL(('Batches'!$A$3:$A$302=$A169)*('Batches'!$G$3:$G$302=$C169)*('Batches'!$D$3:$D$302&gt;0)*('Batches'!$H$3:$H$302&gt;0)*'Batches'!$D$3:$D$302+(1-('Batches'!$A$3:$A$302=$A169)*('Batches'!$G$3:$G$302=$C169)*('Batches'!$D$3:$D$302&gt;0)*('Batches'!$H$3:$H$302&gt;0))*100000,1))))</f>
        <v/>
      </c>
      <c r="J169" s="16">
        <f>IF($A169="","",SUMIFS('Batches'!$H$3:$H$302,'Batches'!$A$3:$A$302,$A169,'Batches'!$G$3:$G$302,$C169,'Batches'!$D$3:$D$302,"&gt;0",'Batches'!$D$3:$D$302,"&lt;="&amp;('Settings'!$B$6+'Settings'!$B$7)))</f>
        <v/>
      </c>
      <c r="K169" s="19">
        <f>IF($A169="","",'Items'!$F169)</f>
        <v/>
      </c>
      <c r="L169" s="19">
        <f>IF($A169="","",$F169*$K169)</f>
        <v/>
      </c>
      <c r="M169" s="16">
        <f>IF($A169="","",IF(AND($H169="Below minimum",OR('Order list'!$B$4="",$D169='Order list'!$B$4)),IFERROR(MATCH($D169,Suppliers,0),99)*10000+ROW(),""))</f>
        <v/>
      </c>
    </row>
    <row r="170">
      <c r="A170" s="8">
        <f>IF('Items'!$A170="","",'Items'!$A170)</f>
        <v/>
      </c>
      <c r="B170" s="8">
        <f>IF($A170="","",'Items'!$B170)</f>
        <v/>
      </c>
      <c r="C170" s="8">
        <f>IF($A170="","",'Items'!$K170)</f>
        <v/>
      </c>
      <c r="D170" s="8">
        <f>IF($A170="","",'Items'!$E170)</f>
        <v/>
      </c>
      <c r="E170" s="8">
        <f>IF($A170="","",'Items'!$D170)</f>
        <v/>
      </c>
      <c r="F170" s="16">
        <f>IF($A170="","",SUMIFS('Batches'!$E$3:$E$302,'Batches'!$A$3:$A$302,$A170,'Batches'!$G$3:$G$302,$C170)+SUMIFS('Movements'!$F$3:$F$1002,'Movements'!$B$3:$B$1002,$A170,'Movements'!$E$3:$E$1002,"In",'Movements'!$H$3:$H$1002,$C170)-SUMIFS('Movements'!$F$3:$F$1002,'Movements'!$B$3:$B$1002,$A170,'Movements'!$E$3:$E$1002,"Out",'Movements'!$G$3:$G$1002,$C170)-SUMIFS('Movements'!$F$3:$F$1002,'Movements'!$B$3:$B$1002,$A170,'Movements'!$E$3:$E$1002,"Waste",'Movements'!$G$3:$G$1002,$C170)+SUMIFS('Movements'!$F$3:$F$1002,'Movements'!$B$3:$B$1002,$A170,'Movements'!$E$3:$E$1002,"Transfer",'Movements'!$H$3:$H$1002,$C170)-SUMIFS('Movements'!$F$3:$F$1002,'Movements'!$B$3:$B$1002,$A170,'Movements'!$E$3:$E$1002,"Transfer",'Movements'!$G$3:$G$1002,$C170))</f>
        <v/>
      </c>
      <c r="G170" s="15">
        <f>IF($A170="","",'Items'!$I170)</f>
        <v/>
      </c>
      <c r="H170" s="8">
        <f>IF(OR($A170="",$G170=""),"",IF($F170&lt;$G170,"Below minimum","OK"))</f>
        <v/>
      </c>
      <c r="I170" s="18">
        <f>IF($A170="","",IF(SUMPRODUCT(SMALL(('Batches'!$A$3:$A$302=$A170)*('Batches'!$G$3:$G$302=$C170)*('Batches'!$D$3:$D$302&gt;0)*('Batches'!$H$3:$H$302&gt;0)*'Batches'!$D$3:$D$302+(1-('Batches'!$A$3:$A$302=$A170)*('Batches'!$G$3:$G$302=$C170)*('Batches'!$D$3:$D$302&gt;0)*('Batches'!$H$3:$H$302&gt;0))*100000,1))&gt;=100000,"",SUMPRODUCT(SMALL(('Batches'!$A$3:$A$302=$A170)*('Batches'!$G$3:$G$302=$C170)*('Batches'!$D$3:$D$302&gt;0)*('Batches'!$H$3:$H$302&gt;0)*'Batches'!$D$3:$D$302+(1-('Batches'!$A$3:$A$302=$A170)*('Batches'!$G$3:$G$302=$C170)*('Batches'!$D$3:$D$302&gt;0)*('Batches'!$H$3:$H$302&gt;0))*100000,1))))</f>
        <v/>
      </c>
      <c r="J170" s="16">
        <f>IF($A170="","",SUMIFS('Batches'!$H$3:$H$302,'Batches'!$A$3:$A$302,$A170,'Batches'!$G$3:$G$302,$C170,'Batches'!$D$3:$D$302,"&gt;0",'Batches'!$D$3:$D$302,"&lt;="&amp;('Settings'!$B$6+'Settings'!$B$7)))</f>
        <v/>
      </c>
      <c r="K170" s="19">
        <f>IF($A170="","",'Items'!$F170)</f>
        <v/>
      </c>
      <c r="L170" s="19">
        <f>IF($A170="","",$F170*$K170)</f>
        <v/>
      </c>
      <c r="M170" s="16">
        <f>IF($A170="","",IF(AND($H170="Below minimum",OR('Order list'!$B$4="",$D170='Order list'!$B$4)),IFERROR(MATCH($D170,Suppliers,0),99)*10000+ROW(),""))</f>
        <v/>
      </c>
    </row>
    <row r="171">
      <c r="A171" s="8">
        <f>IF('Items'!$A171="","",'Items'!$A171)</f>
        <v/>
      </c>
      <c r="B171" s="8">
        <f>IF($A171="","",'Items'!$B171)</f>
        <v/>
      </c>
      <c r="C171" s="8">
        <f>IF($A171="","",'Items'!$K171)</f>
        <v/>
      </c>
      <c r="D171" s="8">
        <f>IF($A171="","",'Items'!$E171)</f>
        <v/>
      </c>
      <c r="E171" s="8">
        <f>IF($A171="","",'Items'!$D171)</f>
        <v/>
      </c>
      <c r="F171" s="16">
        <f>IF($A171="","",SUMIFS('Batches'!$E$3:$E$302,'Batches'!$A$3:$A$302,$A171,'Batches'!$G$3:$G$302,$C171)+SUMIFS('Movements'!$F$3:$F$1002,'Movements'!$B$3:$B$1002,$A171,'Movements'!$E$3:$E$1002,"In",'Movements'!$H$3:$H$1002,$C171)-SUMIFS('Movements'!$F$3:$F$1002,'Movements'!$B$3:$B$1002,$A171,'Movements'!$E$3:$E$1002,"Out",'Movements'!$G$3:$G$1002,$C171)-SUMIFS('Movements'!$F$3:$F$1002,'Movements'!$B$3:$B$1002,$A171,'Movements'!$E$3:$E$1002,"Waste",'Movements'!$G$3:$G$1002,$C171)+SUMIFS('Movements'!$F$3:$F$1002,'Movements'!$B$3:$B$1002,$A171,'Movements'!$E$3:$E$1002,"Transfer",'Movements'!$H$3:$H$1002,$C171)-SUMIFS('Movements'!$F$3:$F$1002,'Movements'!$B$3:$B$1002,$A171,'Movements'!$E$3:$E$1002,"Transfer",'Movements'!$G$3:$G$1002,$C171))</f>
        <v/>
      </c>
      <c r="G171" s="15">
        <f>IF($A171="","",'Items'!$I171)</f>
        <v/>
      </c>
      <c r="H171" s="8">
        <f>IF(OR($A171="",$G171=""),"",IF($F171&lt;$G171,"Below minimum","OK"))</f>
        <v/>
      </c>
      <c r="I171" s="18">
        <f>IF($A171="","",IF(SUMPRODUCT(SMALL(('Batches'!$A$3:$A$302=$A171)*('Batches'!$G$3:$G$302=$C171)*('Batches'!$D$3:$D$302&gt;0)*('Batches'!$H$3:$H$302&gt;0)*'Batches'!$D$3:$D$302+(1-('Batches'!$A$3:$A$302=$A171)*('Batches'!$G$3:$G$302=$C171)*('Batches'!$D$3:$D$302&gt;0)*('Batches'!$H$3:$H$302&gt;0))*100000,1))&gt;=100000,"",SUMPRODUCT(SMALL(('Batches'!$A$3:$A$302=$A171)*('Batches'!$G$3:$G$302=$C171)*('Batches'!$D$3:$D$302&gt;0)*('Batches'!$H$3:$H$302&gt;0)*'Batches'!$D$3:$D$302+(1-('Batches'!$A$3:$A$302=$A171)*('Batches'!$G$3:$G$302=$C171)*('Batches'!$D$3:$D$302&gt;0)*('Batches'!$H$3:$H$302&gt;0))*100000,1))))</f>
        <v/>
      </c>
      <c r="J171" s="16">
        <f>IF($A171="","",SUMIFS('Batches'!$H$3:$H$302,'Batches'!$A$3:$A$302,$A171,'Batches'!$G$3:$G$302,$C171,'Batches'!$D$3:$D$302,"&gt;0",'Batches'!$D$3:$D$302,"&lt;="&amp;('Settings'!$B$6+'Settings'!$B$7)))</f>
        <v/>
      </c>
      <c r="K171" s="19">
        <f>IF($A171="","",'Items'!$F171)</f>
        <v/>
      </c>
      <c r="L171" s="19">
        <f>IF($A171="","",$F171*$K171)</f>
        <v/>
      </c>
      <c r="M171" s="16">
        <f>IF($A171="","",IF(AND($H171="Below minimum",OR('Order list'!$B$4="",$D171='Order list'!$B$4)),IFERROR(MATCH($D171,Suppliers,0),99)*10000+ROW(),""))</f>
        <v/>
      </c>
    </row>
    <row r="172">
      <c r="A172" s="8">
        <f>IF('Items'!$A172="","",'Items'!$A172)</f>
        <v/>
      </c>
      <c r="B172" s="8">
        <f>IF($A172="","",'Items'!$B172)</f>
        <v/>
      </c>
      <c r="C172" s="8">
        <f>IF($A172="","",'Items'!$K172)</f>
        <v/>
      </c>
      <c r="D172" s="8">
        <f>IF($A172="","",'Items'!$E172)</f>
        <v/>
      </c>
      <c r="E172" s="8">
        <f>IF($A172="","",'Items'!$D172)</f>
        <v/>
      </c>
      <c r="F172" s="16">
        <f>IF($A172="","",SUMIFS('Batches'!$E$3:$E$302,'Batches'!$A$3:$A$302,$A172,'Batches'!$G$3:$G$302,$C172)+SUMIFS('Movements'!$F$3:$F$1002,'Movements'!$B$3:$B$1002,$A172,'Movements'!$E$3:$E$1002,"In",'Movements'!$H$3:$H$1002,$C172)-SUMIFS('Movements'!$F$3:$F$1002,'Movements'!$B$3:$B$1002,$A172,'Movements'!$E$3:$E$1002,"Out",'Movements'!$G$3:$G$1002,$C172)-SUMIFS('Movements'!$F$3:$F$1002,'Movements'!$B$3:$B$1002,$A172,'Movements'!$E$3:$E$1002,"Waste",'Movements'!$G$3:$G$1002,$C172)+SUMIFS('Movements'!$F$3:$F$1002,'Movements'!$B$3:$B$1002,$A172,'Movements'!$E$3:$E$1002,"Transfer",'Movements'!$H$3:$H$1002,$C172)-SUMIFS('Movements'!$F$3:$F$1002,'Movements'!$B$3:$B$1002,$A172,'Movements'!$E$3:$E$1002,"Transfer",'Movements'!$G$3:$G$1002,$C172))</f>
        <v/>
      </c>
      <c r="G172" s="15">
        <f>IF($A172="","",'Items'!$I172)</f>
        <v/>
      </c>
      <c r="H172" s="8">
        <f>IF(OR($A172="",$G172=""),"",IF($F172&lt;$G172,"Below minimum","OK"))</f>
        <v/>
      </c>
      <c r="I172" s="18">
        <f>IF($A172="","",IF(SUMPRODUCT(SMALL(('Batches'!$A$3:$A$302=$A172)*('Batches'!$G$3:$G$302=$C172)*('Batches'!$D$3:$D$302&gt;0)*('Batches'!$H$3:$H$302&gt;0)*'Batches'!$D$3:$D$302+(1-('Batches'!$A$3:$A$302=$A172)*('Batches'!$G$3:$G$302=$C172)*('Batches'!$D$3:$D$302&gt;0)*('Batches'!$H$3:$H$302&gt;0))*100000,1))&gt;=100000,"",SUMPRODUCT(SMALL(('Batches'!$A$3:$A$302=$A172)*('Batches'!$G$3:$G$302=$C172)*('Batches'!$D$3:$D$302&gt;0)*('Batches'!$H$3:$H$302&gt;0)*'Batches'!$D$3:$D$302+(1-('Batches'!$A$3:$A$302=$A172)*('Batches'!$G$3:$G$302=$C172)*('Batches'!$D$3:$D$302&gt;0)*('Batches'!$H$3:$H$302&gt;0))*100000,1))))</f>
        <v/>
      </c>
      <c r="J172" s="16">
        <f>IF($A172="","",SUMIFS('Batches'!$H$3:$H$302,'Batches'!$A$3:$A$302,$A172,'Batches'!$G$3:$G$302,$C172,'Batches'!$D$3:$D$302,"&gt;0",'Batches'!$D$3:$D$302,"&lt;="&amp;('Settings'!$B$6+'Settings'!$B$7)))</f>
        <v/>
      </c>
      <c r="K172" s="19">
        <f>IF($A172="","",'Items'!$F172)</f>
        <v/>
      </c>
      <c r="L172" s="19">
        <f>IF($A172="","",$F172*$K172)</f>
        <v/>
      </c>
      <c r="M172" s="16">
        <f>IF($A172="","",IF(AND($H172="Below minimum",OR('Order list'!$B$4="",$D172='Order list'!$B$4)),IFERROR(MATCH($D172,Suppliers,0),99)*10000+ROW(),""))</f>
        <v/>
      </c>
    </row>
    <row r="173">
      <c r="A173" s="8">
        <f>IF('Items'!$A173="","",'Items'!$A173)</f>
        <v/>
      </c>
      <c r="B173" s="8">
        <f>IF($A173="","",'Items'!$B173)</f>
        <v/>
      </c>
      <c r="C173" s="8">
        <f>IF($A173="","",'Items'!$K173)</f>
        <v/>
      </c>
      <c r="D173" s="8">
        <f>IF($A173="","",'Items'!$E173)</f>
        <v/>
      </c>
      <c r="E173" s="8">
        <f>IF($A173="","",'Items'!$D173)</f>
        <v/>
      </c>
      <c r="F173" s="16">
        <f>IF($A173="","",SUMIFS('Batches'!$E$3:$E$302,'Batches'!$A$3:$A$302,$A173,'Batches'!$G$3:$G$302,$C173)+SUMIFS('Movements'!$F$3:$F$1002,'Movements'!$B$3:$B$1002,$A173,'Movements'!$E$3:$E$1002,"In",'Movements'!$H$3:$H$1002,$C173)-SUMIFS('Movements'!$F$3:$F$1002,'Movements'!$B$3:$B$1002,$A173,'Movements'!$E$3:$E$1002,"Out",'Movements'!$G$3:$G$1002,$C173)-SUMIFS('Movements'!$F$3:$F$1002,'Movements'!$B$3:$B$1002,$A173,'Movements'!$E$3:$E$1002,"Waste",'Movements'!$G$3:$G$1002,$C173)+SUMIFS('Movements'!$F$3:$F$1002,'Movements'!$B$3:$B$1002,$A173,'Movements'!$E$3:$E$1002,"Transfer",'Movements'!$H$3:$H$1002,$C173)-SUMIFS('Movements'!$F$3:$F$1002,'Movements'!$B$3:$B$1002,$A173,'Movements'!$E$3:$E$1002,"Transfer",'Movements'!$G$3:$G$1002,$C173))</f>
        <v/>
      </c>
      <c r="G173" s="15">
        <f>IF($A173="","",'Items'!$I173)</f>
        <v/>
      </c>
      <c r="H173" s="8">
        <f>IF(OR($A173="",$G173=""),"",IF($F173&lt;$G173,"Below minimum","OK"))</f>
        <v/>
      </c>
      <c r="I173" s="18">
        <f>IF($A173="","",IF(SUMPRODUCT(SMALL(('Batches'!$A$3:$A$302=$A173)*('Batches'!$G$3:$G$302=$C173)*('Batches'!$D$3:$D$302&gt;0)*('Batches'!$H$3:$H$302&gt;0)*'Batches'!$D$3:$D$302+(1-('Batches'!$A$3:$A$302=$A173)*('Batches'!$G$3:$G$302=$C173)*('Batches'!$D$3:$D$302&gt;0)*('Batches'!$H$3:$H$302&gt;0))*100000,1))&gt;=100000,"",SUMPRODUCT(SMALL(('Batches'!$A$3:$A$302=$A173)*('Batches'!$G$3:$G$302=$C173)*('Batches'!$D$3:$D$302&gt;0)*('Batches'!$H$3:$H$302&gt;0)*'Batches'!$D$3:$D$302+(1-('Batches'!$A$3:$A$302=$A173)*('Batches'!$G$3:$G$302=$C173)*('Batches'!$D$3:$D$302&gt;0)*('Batches'!$H$3:$H$302&gt;0))*100000,1))))</f>
        <v/>
      </c>
      <c r="J173" s="16">
        <f>IF($A173="","",SUMIFS('Batches'!$H$3:$H$302,'Batches'!$A$3:$A$302,$A173,'Batches'!$G$3:$G$302,$C173,'Batches'!$D$3:$D$302,"&gt;0",'Batches'!$D$3:$D$302,"&lt;="&amp;('Settings'!$B$6+'Settings'!$B$7)))</f>
        <v/>
      </c>
      <c r="K173" s="19">
        <f>IF($A173="","",'Items'!$F173)</f>
        <v/>
      </c>
      <c r="L173" s="19">
        <f>IF($A173="","",$F173*$K173)</f>
        <v/>
      </c>
      <c r="M173" s="16">
        <f>IF($A173="","",IF(AND($H173="Below minimum",OR('Order list'!$B$4="",$D173='Order list'!$B$4)),IFERROR(MATCH($D173,Suppliers,0),99)*10000+ROW(),""))</f>
        <v/>
      </c>
    </row>
    <row r="174">
      <c r="A174" s="8">
        <f>IF('Items'!$A174="","",'Items'!$A174)</f>
        <v/>
      </c>
      <c r="B174" s="8">
        <f>IF($A174="","",'Items'!$B174)</f>
        <v/>
      </c>
      <c r="C174" s="8">
        <f>IF($A174="","",'Items'!$K174)</f>
        <v/>
      </c>
      <c r="D174" s="8">
        <f>IF($A174="","",'Items'!$E174)</f>
        <v/>
      </c>
      <c r="E174" s="8">
        <f>IF($A174="","",'Items'!$D174)</f>
        <v/>
      </c>
      <c r="F174" s="16">
        <f>IF($A174="","",SUMIFS('Batches'!$E$3:$E$302,'Batches'!$A$3:$A$302,$A174,'Batches'!$G$3:$G$302,$C174)+SUMIFS('Movements'!$F$3:$F$1002,'Movements'!$B$3:$B$1002,$A174,'Movements'!$E$3:$E$1002,"In",'Movements'!$H$3:$H$1002,$C174)-SUMIFS('Movements'!$F$3:$F$1002,'Movements'!$B$3:$B$1002,$A174,'Movements'!$E$3:$E$1002,"Out",'Movements'!$G$3:$G$1002,$C174)-SUMIFS('Movements'!$F$3:$F$1002,'Movements'!$B$3:$B$1002,$A174,'Movements'!$E$3:$E$1002,"Waste",'Movements'!$G$3:$G$1002,$C174)+SUMIFS('Movements'!$F$3:$F$1002,'Movements'!$B$3:$B$1002,$A174,'Movements'!$E$3:$E$1002,"Transfer",'Movements'!$H$3:$H$1002,$C174)-SUMIFS('Movements'!$F$3:$F$1002,'Movements'!$B$3:$B$1002,$A174,'Movements'!$E$3:$E$1002,"Transfer",'Movements'!$G$3:$G$1002,$C174))</f>
        <v/>
      </c>
      <c r="G174" s="15">
        <f>IF($A174="","",'Items'!$I174)</f>
        <v/>
      </c>
      <c r="H174" s="8">
        <f>IF(OR($A174="",$G174=""),"",IF($F174&lt;$G174,"Below minimum","OK"))</f>
        <v/>
      </c>
      <c r="I174" s="18">
        <f>IF($A174="","",IF(SUMPRODUCT(SMALL(('Batches'!$A$3:$A$302=$A174)*('Batches'!$G$3:$G$302=$C174)*('Batches'!$D$3:$D$302&gt;0)*('Batches'!$H$3:$H$302&gt;0)*'Batches'!$D$3:$D$302+(1-('Batches'!$A$3:$A$302=$A174)*('Batches'!$G$3:$G$302=$C174)*('Batches'!$D$3:$D$302&gt;0)*('Batches'!$H$3:$H$302&gt;0))*100000,1))&gt;=100000,"",SUMPRODUCT(SMALL(('Batches'!$A$3:$A$302=$A174)*('Batches'!$G$3:$G$302=$C174)*('Batches'!$D$3:$D$302&gt;0)*('Batches'!$H$3:$H$302&gt;0)*'Batches'!$D$3:$D$302+(1-('Batches'!$A$3:$A$302=$A174)*('Batches'!$G$3:$G$302=$C174)*('Batches'!$D$3:$D$302&gt;0)*('Batches'!$H$3:$H$302&gt;0))*100000,1))))</f>
        <v/>
      </c>
      <c r="J174" s="16">
        <f>IF($A174="","",SUMIFS('Batches'!$H$3:$H$302,'Batches'!$A$3:$A$302,$A174,'Batches'!$G$3:$G$302,$C174,'Batches'!$D$3:$D$302,"&gt;0",'Batches'!$D$3:$D$302,"&lt;="&amp;('Settings'!$B$6+'Settings'!$B$7)))</f>
        <v/>
      </c>
      <c r="K174" s="19">
        <f>IF($A174="","",'Items'!$F174)</f>
        <v/>
      </c>
      <c r="L174" s="19">
        <f>IF($A174="","",$F174*$K174)</f>
        <v/>
      </c>
      <c r="M174" s="16">
        <f>IF($A174="","",IF(AND($H174="Below minimum",OR('Order list'!$B$4="",$D174='Order list'!$B$4)),IFERROR(MATCH($D174,Suppliers,0),99)*10000+ROW(),""))</f>
        <v/>
      </c>
    </row>
    <row r="175">
      <c r="A175" s="8">
        <f>IF('Items'!$A175="","",'Items'!$A175)</f>
        <v/>
      </c>
      <c r="B175" s="8">
        <f>IF($A175="","",'Items'!$B175)</f>
        <v/>
      </c>
      <c r="C175" s="8">
        <f>IF($A175="","",'Items'!$K175)</f>
        <v/>
      </c>
      <c r="D175" s="8">
        <f>IF($A175="","",'Items'!$E175)</f>
        <v/>
      </c>
      <c r="E175" s="8">
        <f>IF($A175="","",'Items'!$D175)</f>
        <v/>
      </c>
      <c r="F175" s="16">
        <f>IF($A175="","",SUMIFS('Batches'!$E$3:$E$302,'Batches'!$A$3:$A$302,$A175,'Batches'!$G$3:$G$302,$C175)+SUMIFS('Movements'!$F$3:$F$1002,'Movements'!$B$3:$B$1002,$A175,'Movements'!$E$3:$E$1002,"In",'Movements'!$H$3:$H$1002,$C175)-SUMIFS('Movements'!$F$3:$F$1002,'Movements'!$B$3:$B$1002,$A175,'Movements'!$E$3:$E$1002,"Out",'Movements'!$G$3:$G$1002,$C175)-SUMIFS('Movements'!$F$3:$F$1002,'Movements'!$B$3:$B$1002,$A175,'Movements'!$E$3:$E$1002,"Waste",'Movements'!$G$3:$G$1002,$C175)+SUMIFS('Movements'!$F$3:$F$1002,'Movements'!$B$3:$B$1002,$A175,'Movements'!$E$3:$E$1002,"Transfer",'Movements'!$H$3:$H$1002,$C175)-SUMIFS('Movements'!$F$3:$F$1002,'Movements'!$B$3:$B$1002,$A175,'Movements'!$E$3:$E$1002,"Transfer",'Movements'!$G$3:$G$1002,$C175))</f>
        <v/>
      </c>
      <c r="G175" s="15">
        <f>IF($A175="","",'Items'!$I175)</f>
        <v/>
      </c>
      <c r="H175" s="8">
        <f>IF(OR($A175="",$G175=""),"",IF($F175&lt;$G175,"Below minimum","OK"))</f>
        <v/>
      </c>
      <c r="I175" s="18">
        <f>IF($A175="","",IF(SUMPRODUCT(SMALL(('Batches'!$A$3:$A$302=$A175)*('Batches'!$G$3:$G$302=$C175)*('Batches'!$D$3:$D$302&gt;0)*('Batches'!$H$3:$H$302&gt;0)*'Batches'!$D$3:$D$302+(1-('Batches'!$A$3:$A$302=$A175)*('Batches'!$G$3:$G$302=$C175)*('Batches'!$D$3:$D$302&gt;0)*('Batches'!$H$3:$H$302&gt;0))*100000,1))&gt;=100000,"",SUMPRODUCT(SMALL(('Batches'!$A$3:$A$302=$A175)*('Batches'!$G$3:$G$302=$C175)*('Batches'!$D$3:$D$302&gt;0)*('Batches'!$H$3:$H$302&gt;0)*'Batches'!$D$3:$D$302+(1-('Batches'!$A$3:$A$302=$A175)*('Batches'!$G$3:$G$302=$C175)*('Batches'!$D$3:$D$302&gt;0)*('Batches'!$H$3:$H$302&gt;0))*100000,1))))</f>
        <v/>
      </c>
      <c r="J175" s="16">
        <f>IF($A175="","",SUMIFS('Batches'!$H$3:$H$302,'Batches'!$A$3:$A$302,$A175,'Batches'!$G$3:$G$302,$C175,'Batches'!$D$3:$D$302,"&gt;0",'Batches'!$D$3:$D$302,"&lt;="&amp;('Settings'!$B$6+'Settings'!$B$7)))</f>
        <v/>
      </c>
      <c r="K175" s="19">
        <f>IF($A175="","",'Items'!$F175)</f>
        <v/>
      </c>
      <c r="L175" s="19">
        <f>IF($A175="","",$F175*$K175)</f>
        <v/>
      </c>
      <c r="M175" s="16">
        <f>IF($A175="","",IF(AND($H175="Below minimum",OR('Order list'!$B$4="",$D175='Order list'!$B$4)),IFERROR(MATCH($D175,Suppliers,0),99)*10000+ROW(),""))</f>
        <v/>
      </c>
    </row>
    <row r="176">
      <c r="A176" s="8">
        <f>IF('Items'!$A176="","",'Items'!$A176)</f>
        <v/>
      </c>
      <c r="B176" s="8">
        <f>IF($A176="","",'Items'!$B176)</f>
        <v/>
      </c>
      <c r="C176" s="8">
        <f>IF($A176="","",'Items'!$K176)</f>
        <v/>
      </c>
      <c r="D176" s="8">
        <f>IF($A176="","",'Items'!$E176)</f>
        <v/>
      </c>
      <c r="E176" s="8">
        <f>IF($A176="","",'Items'!$D176)</f>
        <v/>
      </c>
      <c r="F176" s="16">
        <f>IF($A176="","",SUMIFS('Batches'!$E$3:$E$302,'Batches'!$A$3:$A$302,$A176,'Batches'!$G$3:$G$302,$C176)+SUMIFS('Movements'!$F$3:$F$1002,'Movements'!$B$3:$B$1002,$A176,'Movements'!$E$3:$E$1002,"In",'Movements'!$H$3:$H$1002,$C176)-SUMIFS('Movements'!$F$3:$F$1002,'Movements'!$B$3:$B$1002,$A176,'Movements'!$E$3:$E$1002,"Out",'Movements'!$G$3:$G$1002,$C176)-SUMIFS('Movements'!$F$3:$F$1002,'Movements'!$B$3:$B$1002,$A176,'Movements'!$E$3:$E$1002,"Waste",'Movements'!$G$3:$G$1002,$C176)+SUMIFS('Movements'!$F$3:$F$1002,'Movements'!$B$3:$B$1002,$A176,'Movements'!$E$3:$E$1002,"Transfer",'Movements'!$H$3:$H$1002,$C176)-SUMIFS('Movements'!$F$3:$F$1002,'Movements'!$B$3:$B$1002,$A176,'Movements'!$E$3:$E$1002,"Transfer",'Movements'!$G$3:$G$1002,$C176))</f>
        <v/>
      </c>
      <c r="G176" s="15">
        <f>IF($A176="","",'Items'!$I176)</f>
        <v/>
      </c>
      <c r="H176" s="8">
        <f>IF(OR($A176="",$G176=""),"",IF($F176&lt;$G176,"Below minimum","OK"))</f>
        <v/>
      </c>
      <c r="I176" s="18">
        <f>IF($A176="","",IF(SUMPRODUCT(SMALL(('Batches'!$A$3:$A$302=$A176)*('Batches'!$G$3:$G$302=$C176)*('Batches'!$D$3:$D$302&gt;0)*('Batches'!$H$3:$H$302&gt;0)*'Batches'!$D$3:$D$302+(1-('Batches'!$A$3:$A$302=$A176)*('Batches'!$G$3:$G$302=$C176)*('Batches'!$D$3:$D$302&gt;0)*('Batches'!$H$3:$H$302&gt;0))*100000,1))&gt;=100000,"",SUMPRODUCT(SMALL(('Batches'!$A$3:$A$302=$A176)*('Batches'!$G$3:$G$302=$C176)*('Batches'!$D$3:$D$302&gt;0)*('Batches'!$H$3:$H$302&gt;0)*'Batches'!$D$3:$D$302+(1-('Batches'!$A$3:$A$302=$A176)*('Batches'!$G$3:$G$302=$C176)*('Batches'!$D$3:$D$302&gt;0)*('Batches'!$H$3:$H$302&gt;0))*100000,1))))</f>
        <v/>
      </c>
      <c r="J176" s="16">
        <f>IF($A176="","",SUMIFS('Batches'!$H$3:$H$302,'Batches'!$A$3:$A$302,$A176,'Batches'!$G$3:$G$302,$C176,'Batches'!$D$3:$D$302,"&gt;0",'Batches'!$D$3:$D$302,"&lt;="&amp;('Settings'!$B$6+'Settings'!$B$7)))</f>
        <v/>
      </c>
      <c r="K176" s="19">
        <f>IF($A176="","",'Items'!$F176)</f>
        <v/>
      </c>
      <c r="L176" s="19">
        <f>IF($A176="","",$F176*$K176)</f>
        <v/>
      </c>
      <c r="M176" s="16">
        <f>IF($A176="","",IF(AND($H176="Below minimum",OR('Order list'!$B$4="",$D176='Order list'!$B$4)),IFERROR(MATCH($D176,Suppliers,0),99)*10000+ROW(),""))</f>
        <v/>
      </c>
    </row>
    <row r="177">
      <c r="A177" s="8">
        <f>IF('Items'!$A177="","",'Items'!$A177)</f>
        <v/>
      </c>
      <c r="B177" s="8">
        <f>IF($A177="","",'Items'!$B177)</f>
        <v/>
      </c>
      <c r="C177" s="8">
        <f>IF($A177="","",'Items'!$K177)</f>
        <v/>
      </c>
      <c r="D177" s="8">
        <f>IF($A177="","",'Items'!$E177)</f>
        <v/>
      </c>
      <c r="E177" s="8">
        <f>IF($A177="","",'Items'!$D177)</f>
        <v/>
      </c>
      <c r="F177" s="16">
        <f>IF($A177="","",SUMIFS('Batches'!$E$3:$E$302,'Batches'!$A$3:$A$302,$A177,'Batches'!$G$3:$G$302,$C177)+SUMIFS('Movements'!$F$3:$F$1002,'Movements'!$B$3:$B$1002,$A177,'Movements'!$E$3:$E$1002,"In",'Movements'!$H$3:$H$1002,$C177)-SUMIFS('Movements'!$F$3:$F$1002,'Movements'!$B$3:$B$1002,$A177,'Movements'!$E$3:$E$1002,"Out",'Movements'!$G$3:$G$1002,$C177)-SUMIFS('Movements'!$F$3:$F$1002,'Movements'!$B$3:$B$1002,$A177,'Movements'!$E$3:$E$1002,"Waste",'Movements'!$G$3:$G$1002,$C177)+SUMIFS('Movements'!$F$3:$F$1002,'Movements'!$B$3:$B$1002,$A177,'Movements'!$E$3:$E$1002,"Transfer",'Movements'!$H$3:$H$1002,$C177)-SUMIFS('Movements'!$F$3:$F$1002,'Movements'!$B$3:$B$1002,$A177,'Movements'!$E$3:$E$1002,"Transfer",'Movements'!$G$3:$G$1002,$C177))</f>
        <v/>
      </c>
      <c r="G177" s="15">
        <f>IF($A177="","",'Items'!$I177)</f>
        <v/>
      </c>
      <c r="H177" s="8">
        <f>IF(OR($A177="",$G177=""),"",IF($F177&lt;$G177,"Below minimum","OK"))</f>
        <v/>
      </c>
      <c r="I177" s="18">
        <f>IF($A177="","",IF(SUMPRODUCT(SMALL(('Batches'!$A$3:$A$302=$A177)*('Batches'!$G$3:$G$302=$C177)*('Batches'!$D$3:$D$302&gt;0)*('Batches'!$H$3:$H$302&gt;0)*'Batches'!$D$3:$D$302+(1-('Batches'!$A$3:$A$302=$A177)*('Batches'!$G$3:$G$302=$C177)*('Batches'!$D$3:$D$302&gt;0)*('Batches'!$H$3:$H$302&gt;0))*100000,1))&gt;=100000,"",SUMPRODUCT(SMALL(('Batches'!$A$3:$A$302=$A177)*('Batches'!$G$3:$G$302=$C177)*('Batches'!$D$3:$D$302&gt;0)*('Batches'!$H$3:$H$302&gt;0)*'Batches'!$D$3:$D$302+(1-('Batches'!$A$3:$A$302=$A177)*('Batches'!$G$3:$G$302=$C177)*('Batches'!$D$3:$D$302&gt;0)*('Batches'!$H$3:$H$302&gt;0))*100000,1))))</f>
        <v/>
      </c>
      <c r="J177" s="16">
        <f>IF($A177="","",SUMIFS('Batches'!$H$3:$H$302,'Batches'!$A$3:$A$302,$A177,'Batches'!$G$3:$G$302,$C177,'Batches'!$D$3:$D$302,"&gt;0",'Batches'!$D$3:$D$302,"&lt;="&amp;('Settings'!$B$6+'Settings'!$B$7)))</f>
        <v/>
      </c>
      <c r="K177" s="19">
        <f>IF($A177="","",'Items'!$F177)</f>
        <v/>
      </c>
      <c r="L177" s="19">
        <f>IF($A177="","",$F177*$K177)</f>
        <v/>
      </c>
      <c r="M177" s="16">
        <f>IF($A177="","",IF(AND($H177="Below minimum",OR('Order list'!$B$4="",$D177='Order list'!$B$4)),IFERROR(MATCH($D177,Suppliers,0),99)*10000+ROW(),""))</f>
        <v/>
      </c>
    </row>
    <row r="178">
      <c r="A178" s="8">
        <f>IF('Items'!$A178="","",'Items'!$A178)</f>
        <v/>
      </c>
      <c r="B178" s="8">
        <f>IF($A178="","",'Items'!$B178)</f>
        <v/>
      </c>
      <c r="C178" s="8">
        <f>IF($A178="","",'Items'!$K178)</f>
        <v/>
      </c>
      <c r="D178" s="8">
        <f>IF($A178="","",'Items'!$E178)</f>
        <v/>
      </c>
      <c r="E178" s="8">
        <f>IF($A178="","",'Items'!$D178)</f>
        <v/>
      </c>
      <c r="F178" s="16">
        <f>IF($A178="","",SUMIFS('Batches'!$E$3:$E$302,'Batches'!$A$3:$A$302,$A178,'Batches'!$G$3:$G$302,$C178)+SUMIFS('Movements'!$F$3:$F$1002,'Movements'!$B$3:$B$1002,$A178,'Movements'!$E$3:$E$1002,"In",'Movements'!$H$3:$H$1002,$C178)-SUMIFS('Movements'!$F$3:$F$1002,'Movements'!$B$3:$B$1002,$A178,'Movements'!$E$3:$E$1002,"Out",'Movements'!$G$3:$G$1002,$C178)-SUMIFS('Movements'!$F$3:$F$1002,'Movements'!$B$3:$B$1002,$A178,'Movements'!$E$3:$E$1002,"Waste",'Movements'!$G$3:$G$1002,$C178)+SUMIFS('Movements'!$F$3:$F$1002,'Movements'!$B$3:$B$1002,$A178,'Movements'!$E$3:$E$1002,"Transfer",'Movements'!$H$3:$H$1002,$C178)-SUMIFS('Movements'!$F$3:$F$1002,'Movements'!$B$3:$B$1002,$A178,'Movements'!$E$3:$E$1002,"Transfer",'Movements'!$G$3:$G$1002,$C178))</f>
        <v/>
      </c>
      <c r="G178" s="15">
        <f>IF($A178="","",'Items'!$I178)</f>
        <v/>
      </c>
      <c r="H178" s="8">
        <f>IF(OR($A178="",$G178=""),"",IF($F178&lt;$G178,"Below minimum","OK"))</f>
        <v/>
      </c>
      <c r="I178" s="18">
        <f>IF($A178="","",IF(SUMPRODUCT(SMALL(('Batches'!$A$3:$A$302=$A178)*('Batches'!$G$3:$G$302=$C178)*('Batches'!$D$3:$D$302&gt;0)*('Batches'!$H$3:$H$302&gt;0)*'Batches'!$D$3:$D$302+(1-('Batches'!$A$3:$A$302=$A178)*('Batches'!$G$3:$G$302=$C178)*('Batches'!$D$3:$D$302&gt;0)*('Batches'!$H$3:$H$302&gt;0))*100000,1))&gt;=100000,"",SUMPRODUCT(SMALL(('Batches'!$A$3:$A$302=$A178)*('Batches'!$G$3:$G$302=$C178)*('Batches'!$D$3:$D$302&gt;0)*('Batches'!$H$3:$H$302&gt;0)*'Batches'!$D$3:$D$302+(1-('Batches'!$A$3:$A$302=$A178)*('Batches'!$G$3:$G$302=$C178)*('Batches'!$D$3:$D$302&gt;0)*('Batches'!$H$3:$H$302&gt;0))*100000,1))))</f>
        <v/>
      </c>
      <c r="J178" s="16">
        <f>IF($A178="","",SUMIFS('Batches'!$H$3:$H$302,'Batches'!$A$3:$A$302,$A178,'Batches'!$G$3:$G$302,$C178,'Batches'!$D$3:$D$302,"&gt;0",'Batches'!$D$3:$D$302,"&lt;="&amp;('Settings'!$B$6+'Settings'!$B$7)))</f>
        <v/>
      </c>
      <c r="K178" s="19">
        <f>IF($A178="","",'Items'!$F178)</f>
        <v/>
      </c>
      <c r="L178" s="19">
        <f>IF($A178="","",$F178*$K178)</f>
        <v/>
      </c>
      <c r="M178" s="16">
        <f>IF($A178="","",IF(AND($H178="Below minimum",OR('Order list'!$B$4="",$D178='Order list'!$B$4)),IFERROR(MATCH($D178,Suppliers,0),99)*10000+ROW(),""))</f>
        <v/>
      </c>
    </row>
    <row r="179">
      <c r="A179" s="8">
        <f>IF('Items'!$A179="","",'Items'!$A179)</f>
        <v/>
      </c>
      <c r="B179" s="8">
        <f>IF($A179="","",'Items'!$B179)</f>
        <v/>
      </c>
      <c r="C179" s="8">
        <f>IF($A179="","",'Items'!$K179)</f>
        <v/>
      </c>
      <c r="D179" s="8">
        <f>IF($A179="","",'Items'!$E179)</f>
        <v/>
      </c>
      <c r="E179" s="8">
        <f>IF($A179="","",'Items'!$D179)</f>
        <v/>
      </c>
      <c r="F179" s="16">
        <f>IF($A179="","",SUMIFS('Batches'!$E$3:$E$302,'Batches'!$A$3:$A$302,$A179,'Batches'!$G$3:$G$302,$C179)+SUMIFS('Movements'!$F$3:$F$1002,'Movements'!$B$3:$B$1002,$A179,'Movements'!$E$3:$E$1002,"In",'Movements'!$H$3:$H$1002,$C179)-SUMIFS('Movements'!$F$3:$F$1002,'Movements'!$B$3:$B$1002,$A179,'Movements'!$E$3:$E$1002,"Out",'Movements'!$G$3:$G$1002,$C179)-SUMIFS('Movements'!$F$3:$F$1002,'Movements'!$B$3:$B$1002,$A179,'Movements'!$E$3:$E$1002,"Waste",'Movements'!$G$3:$G$1002,$C179)+SUMIFS('Movements'!$F$3:$F$1002,'Movements'!$B$3:$B$1002,$A179,'Movements'!$E$3:$E$1002,"Transfer",'Movements'!$H$3:$H$1002,$C179)-SUMIFS('Movements'!$F$3:$F$1002,'Movements'!$B$3:$B$1002,$A179,'Movements'!$E$3:$E$1002,"Transfer",'Movements'!$G$3:$G$1002,$C179))</f>
        <v/>
      </c>
      <c r="G179" s="15">
        <f>IF($A179="","",'Items'!$I179)</f>
        <v/>
      </c>
      <c r="H179" s="8">
        <f>IF(OR($A179="",$G179=""),"",IF($F179&lt;$G179,"Below minimum","OK"))</f>
        <v/>
      </c>
      <c r="I179" s="18">
        <f>IF($A179="","",IF(SUMPRODUCT(SMALL(('Batches'!$A$3:$A$302=$A179)*('Batches'!$G$3:$G$302=$C179)*('Batches'!$D$3:$D$302&gt;0)*('Batches'!$H$3:$H$302&gt;0)*'Batches'!$D$3:$D$302+(1-('Batches'!$A$3:$A$302=$A179)*('Batches'!$G$3:$G$302=$C179)*('Batches'!$D$3:$D$302&gt;0)*('Batches'!$H$3:$H$302&gt;0))*100000,1))&gt;=100000,"",SUMPRODUCT(SMALL(('Batches'!$A$3:$A$302=$A179)*('Batches'!$G$3:$G$302=$C179)*('Batches'!$D$3:$D$302&gt;0)*('Batches'!$H$3:$H$302&gt;0)*'Batches'!$D$3:$D$302+(1-('Batches'!$A$3:$A$302=$A179)*('Batches'!$G$3:$G$302=$C179)*('Batches'!$D$3:$D$302&gt;0)*('Batches'!$H$3:$H$302&gt;0))*100000,1))))</f>
        <v/>
      </c>
      <c r="J179" s="16">
        <f>IF($A179="","",SUMIFS('Batches'!$H$3:$H$302,'Batches'!$A$3:$A$302,$A179,'Batches'!$G$3:$G$302,$C179,'Batches'!$D$3:$D$302,"&gt;0",'Batches'!$D$3:$D$302,"&lt;="&amp;('Settings'!$B$6+'Settings'!$B$7)))</f>
        <v/>
      </c>
      <c r="K179" s="19">
        <f>IF($A179="","",'Items'!$F179)</f>
        <v/>
      </c>
      <c r="L179" s="19">
        <f>IF($A179="","",$F179*$K179)</f>
        <v/>
      </c>
      <c r="M179" s="16">
        <f>IF($A179="","",IF(AND($H179="Below minimum",OR('Order list'!$B$4="",$D179='Order list'!$B$4)),IFERROR(MATCH($D179,Suppliers,0),99)*10000+ROW(),""))</f>
        <v/>
      </c>
    </row>
    <row r="180">
      <c r="A180" s="8">
        <f>IF('Items'!$A180="","",'Items'!$A180)</f>
        <v/>
      </c>
      <c r="B180" s="8">
        <f>IF($A180="","",'Items'!$B180)</f>
        <v/>
      </c>
      <c r="C180" s="8">
        <f>IF($A180="","",'Items'!$K180)</f>
        <v/>
      </c>
      <c r="D180" s="8">
        <f>IF($A180="","",'Items'!$E180)</f>
        <v/>
      </c>
      <c r="E180" s="8">
        <f>IF($A180="","",'Items'!$D180)</f>
        <v/>
      </c>
      <c r="F180" s="16">
        <f>IF($A180="","",SUMIFS('Batches'!$E$3:$E$302,'Batches'!$A$3:$A$302,$A180,'Batches'!$G$3:$G$302,$C180)+SUMIFS('Movements'!$F$3:$F$1002,'Movements'!$B$3:$B$1002,$A180,'Movements'!$E$3:$E$1002,"In",'Movements'!$H$3:$H$1002,$C180)-SUMIFS('Movements'!$F$3:$F$1002,'Movements'!$B$3:$B$1002,$A180,'Movements'!$E$3:$E$1002,"Out",'Movements'!$G$3:$G$1002,$C180)-SUMIFS('Movements'!$F$3:$F$1002,'Movements'!$B$3:$B$1002,$A180,'Movements'!$E$3:$E$1002,"Waste",'Movements'!$G$3:$G$1002,$C180)+SUMIFS('Movements'!$F$3:$F$1002,'Movements'!$B$3:$B$1002,$A180,'Movements'!$E$3:$E$1002,"Transfer",'Movements'!$H$3:$H$1002,$C180)-SUMIFS('Movements'!$F$3:$F$1002,'Movements'!$B$3:$B$1002,$A180,'Movements'!$E$3:$E$1002,"Transfer",'Movements'!$G$3:$G$1002,$C180))</f>
        <v/>
      </c>
      <c r="G180" s="15">
        <f>IF($A180="","",'Items'!$I180)</f>
        <v/>
      </c>
      <c r="H180" s="8">
        <f>IF(OR($A180="",$G180=""),"",IF($F180&lt;$G180,"Below minimum","OK"))</f>
        <v/>
      </c>
      <c r="I180" s="18">
        <f>IF($A180="","",IF(SUMPRODUCT(SMALL(('Batches'!$A$3:$A$302=$A180)*('Batches'!$G$3:$G$302=$C180)*('Batches'!$D$3:$D$302&gt;0)*('Batches'!$H$3:$H$302&gt;0)*'Batches'!$D$3:$D$302+(1-('Batches'!$A$3:$A$302=$A180)*('Batches'!$G$3:$G$302=$C180)*('Batches'!$D$3:$D$302&gt;0)*('Batches'!$H$3:$H$302&gt;0))*100000,1))&gt;=100000,"",SUMPRODUCT(SMALL(('Batches'!$A$3:$A$302=$A180)*('Batches'!$G$3:$G$302=$C180)*('Batches'!$D$3:$D$302&gt;0)*('Batches'!$H$3:$H$302&gt;0)*'Batches'!$D$3:$D$302+(1-('Batches'!$A$3:$A$302=$A180)*('Batches'!$G$3:$G$302=$C180)*('Batches'!$D$3:$D$302&gt;0)*('Batches'!$H$3:$H$302&gt;0))*100000,1))))</f>
        <v/>
      </c>
      <c r="J180" s="16">
        <f>IF($A180="","",SUMIFS('Batches'!$H$3:$H$302,'Batches'!$A$3:$A$302,$A180,'Batches'!$G$3:$G$302,$C180,'Batches'!$D$3:$D$302,"&gt;0",'Batches'!$D$3:$D$302,"&lt;="&amp;('Settings'!$B$6+'Settings'!$B$7)))</f>
        <v/>
      </c>
      <c r="K180" s="19">
        <f>IF($A180="","",'Items'!$F180)</f>
        <v/>
      </c>
      <c r="L180" s="19">
        <f>IF($A180="","",$F180*$K180)</f>
        <v/>
      </c>
      <c r="M180" s="16">
        <f>IF($A180="","",IF(AND($H180="Below minimum",OR('Order list'!$B$4="",$D180='Order list'!$B$4)),IFERROR(MATCH($D180,Suppliers,0),99)*10000+ROW(),""))</f>
        <v/>
      </c>
    </row>
    <row r="181">
      <c r="A181" s="8">
        <f>IF('Items'!$A181="","",'Items'!$A181)</f>
        <v/>
      </c>
      <c r="B181" s="8">
        <f>IF($A181="","",'Items'!$B181)</f>
        <v/>
      </c>
      <c r="C181" s="8">
        <f>IF($A181="","",'Items'!$K181)</f>
        <v/>
      </c>
      <c r="D181" s="8">
        <f>IF($A181="","",'Items'!$E181)</f>
        <v/>
      </c>
      <c r="E181" s="8">
        <f>IF($A181="","",'Items'!$D181)</f>
        <v/>
      </c>
      <c r="F181" s="16">
        <f>IF($A181="","",SUMIFS('Batches'!$E$3:$E$302,'Batches'!$A$3:$A$302,$A181,'Batches'!$G$3:$G$302,$C181)+SUMIFS('Movements'!$F$3:$F$1002,'Movements'!$B$3:$B$1002,$A181,'Movements'!$E$3:$E$1002,"In",'Movements'!$H$3:$H$1002,$C181)-SUMIFS('Movements'!$F$3:$F$1002,'Movements'!$B$3:$B$1002,$A181,'Movements'!$E$3:$E$1002,"Out",'Movements'!$G$3:$G$1002,$C181)-SUMIFS('Movements'!$F$3:$F$1002,'Movements'!$B$3:$B$1002,$A181,'Movements'!$E$3:$E$1002,"Waste",'Movements'!$G$3:$G$1002,$C181)+SUMIFS('Movements'!$F$3:$F$1002,'Movements'!$B$3:$B$1002,$A181,'Movements'!$E$3:$E$1002,"Transfer",'Movements'!$H$3:$H$1002,$C181)-SUMIFS('Movements'!$F$3:$F$1002,'Movements'!$B$3:$B$1002,$A181,'Movements'!$E$3:$E$1002,"Transfer",'Movements'!$G$3:$G$1002,$C181))</f>
        <v/>
      </c>
      <c r="G181" s="15">
        <f>IF($A181="","",'Items'!$I181)</f>
        <v/>
      </c>
      <c r="H181" s="8">
        <f>IF(OR($A181="",$G181=""),"",IF($F181&lt;$G181,"Below minimum","OK"))</f>
        <v/>
      </c>
      <c r="I181" s="18">
        <f>IF($A181="","",IF(SUMPRODUCT(SMALL(('Batches'!$A$3:$A$302=$A181)*('Batches'!$G$3:$G$302=$C181)*('Batches'!$D$3:$D$302&gt;0)*('Batches'!$H$3:$H$302&gt;0)*'Batches'!$D$3:$D$302+(1-('Batches'!$A$3:$A$302=$A181)*('Batches'!$G$3:$G$302=$C181)*('Batches'!$D$3:$D$302&gt;0)*('Batches'!$H$3:$H$302&gt;0))*100000,1))&gt;=100000,"",SUMPRODUCT(SMALL(('Batches'!$A$3:$A$302=$A181)*('Batches'!$G$3:$G$302=$C181)*('Batches'!$D$3:$D$302&gt;0)*('Batches'!$H$3:$H$302&gt;0)*'Batches'!$D$3:$D$302+(1-('Batches'!$A$3:$A$302=$A181)*('Batches'!$G$3:$G$302=$C181)*('Batches'!$D$3:$D$302&gt;0)*('Batches'!$H$3:$H$302&gt;0))*100000,1))))</f>
        <v/>
      </c>
      <c r="J181" s="16">
        <f>IF($A181="","",SUMIFS('Batches'!$H$3:$H$302,'Batches'!$A$3:$A$302,$A181,'Batches'!$G$3:$G$302,$C181,'Batches'!$D$3:$D$302,"&gt;0",'Batches'!$D$3:$D$302,"&lt;="&amp;('Settings'!$B$6+'Settings'!$B$7)))</f>
        <v/>
      </c>
      <c r="K181" s="19">
        <f>IF($A181="","",'Items'!$F181)</f>
        <v/>
      </c>
      <c r="L181" s="19">
        <f>IF($A181="","",$F181*$K181)</f>
        <v/>
      </c>
      <c r="M181" s="16">
        <f>IF($A181="","",IF(AND($H181="Below minimum",OR('Order list'!$B$4="",$D181='Order list'!$B$4)),IFERROR(MATCH($D181,Suppliers,0),99)*10000+ROW(),""))</f>
        <v/>
      </c>
    </row>
    <row r="182">
      <c r="A182" s="8">
        <f>IF('Items'!$A182="","",'Items'!$A182)</f>
        <v/>
      </c>
      <c r="B182" s="8">
        <f>IF($A182="","",'Items'!$B182)</f>
        <v/>
      </c>
      <c r="C182" s="8">
        <f>IF($A182="","",'Items'!$K182)</f>
        <v/>
      </c>
      <c r="D182" s="8">
        <f>IF($A182="","",'Items'!$E182)</f>
        <v/>
      </c>
      <c r="E182" s="8">
        <f>IF($A182="","",'Items'!$D182)</f>
        <v/>
      </c>
      <c r="F182" s="16">
        <f>IF($A182="","",SUMIFS('Batches'!$E$3:$E$302,'Batches'!$A$3:$A$302,$A182,'Batches'!$G$3:$G$302,$C182)+SUMIFS('Movements'!$F$3:$F$1002,'Movements'!$B$3:$B$1002,$A182,'Movements'!$E$3:$E$1002,"In",'Movements'!$H$3:$H$1002,$C182)-SUMIFS('Movements'!$F$3:$F$1002,'Movements'!$B$3:$B$1002,$A182,'Movements'!$E$3:$E$1002,"Out",'Movements'!$G$3:$G$1002,$C182)-SUMIFS('Movements'!$F$3:$F$1002,'Movements'!$B$3:$B$1002,$A182,'Movements'!$E$3:$E$1002,"Waste",'Movements'!$G$3:$G$1002,$C182)+SUMIFS('Movements'!$F$3:$F$1002,'Movements'!$B$3:$B$1002,$A182,'Movements'!$E$3:$E$1002,"Transfer",'Movements'!$H$3:$H$1002,$C182)-SUMIFS('Movements'!$F$3:$F$1002,'Movements'!$B$3:$B$1002,$A182,'Movements'!$E$3:$E$1002,"Transfer",'Movements'!$G$3:$G$1002,$C182))</f>
        <v/>
      </c>
      <c r="G182" s="15">
        <f>IF($A182="","",'Items'!$I182)</f>
        <v/>
      </c>
      <c r="H182" s="8">
        <f>IF(OR($A182="",$G182=""),"",IF($F182&lt;$G182,"Below minimum","OK"))</f>
        <v/>
      </c>
      <c r="I182" s="18">
        <f>IF($A182="","",IF(SUMPRODUCT(SMALL(('Batches'!$A$3:$A$302=$A182)*('Batches'!$G$3:$G$302=$C182)*('Batches'!$D$3:$D$302&gt;0)*('Batches'!$H$3:$H$302&gt;0)*'Batches'!$D$3:$D$302+(1-('Batches'!$A$3:$A$302=$A182)*('Batches'!$G$3:$G$302=$C182)*('Batches'!$D$3:$D$302&gt;0)*('Batches'!$H$3:$H$302&gt;0))*100000,1))&gt;=100000,"",SUMPRODUCT(SMALL(('Batches'!$A$3:$A$302=$A182)*('Batches'!$G$3:$G$302=$C182)*('Batches'!$D$3:$D$302&gt;0)*('Batches'!$H$3:$H$302&gt;0)*'Batches'!$D$3:$D$302+(1-('Batches'!$A$3:$A$302=$A182)*('Batches'!$G$3:$G$302=$C182)*('Batches'!$D$3:$D$302&gt;0)*('Batches'!$H$3:$H$302&gt;0))*100000,1))))</f>
        <v/>
      </c>
      <c r="J182" s="16">
        <f>IF($A182="","",SUMIFS('Batches'!$H$3:$H$302,'Batches'!$A$3:$A$302,$A182,'Batches'!$G$3:$G$302,$C182,'Batches'!$D$3:$D$302,"&gt;0",'Batches'!$D$3:$D$302,"&lt;="&amp;('Settings'!$B$6+'Settings'!$B$7)))</f>
        <v/>
      </c>
      <c r="K182" s="19">
        <f>IF($A182="","",'Items'!$F182)</f>
        <v/>
      </c>
      <c r="L182" s="19">
        <f>IF($A182="","",$F182*$K182)</f>
        <v/>
      </c>
      <c r="M182" s="16">
        <f>IF($A182="","",IF(AND($H182="Below minimum",OR('Order list'!$B$4="",$D182='Order list'!$B$4)),IFERROR(MATCH($D182,Suppliers,0),99)*10000+ROW(),""))</f>
        <v/>
      </c>
    </row>
    <row r="183">
      <c r="A183" s="8">
        <f>IF('Items'!$A183="","",'Items'!$A183)</f>
        <v/>
      </c>
      <c r="B183" s="8">
        <f>IF($A183="","",'Items'!$B183)</f>
        <v/>
      </c>
      <c r="C183" s="8">
        <f>IF($A183="","",'Items'!$K183)</f>
        <v/>
      </c>
      <c r="D183" s="8">
        <f>IF($A183="","",'Items'!$E183)</f>
        <v/>
      </c>
      <c r="E183" s="8">
        <f>IF($A183="","",'Items'!$D183)</f>
        <v/>
      </c>
      <c r="F183" s="16">
        <f>IF($A183="","",SUMIFS('Batches'!$E$3:$E$302,'Batches'!$A$3:$A$302,$A183,'Batches'!$G$3:$G$302,$C183)+SUMIFS('Movements'!$F$3:$F$1002,'Movements'!$B$3:$B$1002,$A183,'Movements'!$E$3:$E$1002,"In",'Movements'!$H$3:$H$1002,$C183)-SUMIFS('Movements'!$F$3:$F$1002,'Movements'!$B$3:$B$1002,$A183,'Movements'!$E$3:$E$1002,"Out",'Movements'!$G$3:$G$1002,$C183)-SUMIFS('Movements'!$F$3:$F$1002,'Movements'!$B$3:$B$1002,$A183,'Movements'!$E$3:$E$1002,"Waste",'Movements'!$G$3:$G$1002,$C183)+SUMIFS('Movements'!$F$3:$F$1002,'Movements'!$B$3:$B$1002,$A183,'Movements'!$E$3:$E$1002,"Transfer",'Movements'!$H$3:$H$1002,$C183)-SUMIFS('Movements'!$F$3:$F$1002,'Movements'!$B$3:$B$1002,$A183,'Movements'!$E$3:$E$1002,"Transfer",'Movements'!$G$3:$G$1002,$C183))</f>
        <v/>
      </c>
      <c r="G183" s="15">
        <f>IF($A183="","",'Items'!$I183)</f>
        <v/>
      </c>
      <c r="H183" s="8">
        <f>IF(OR($A183="",$G183=""),"",IF($F183&lt;$G183,"Below minimum","OK"))</f>
        <v/>
      </c>
      <c r="I183" s="18">
        <f>IF($A183="","",IF(SUMPRODUCT(SMALL(('Batches'!$A$3:$A$302=$A183)*('Batches'!$G$3:$G$302=$C183)*('Batches'!$D$3:$D$302&gt;0)*('Batches'!$H$3:$H$302&gt;0)*'Batches'!$D$3:$D$302+(1-('Batches'!$A$3:$A$302=$A183)*('Batches'!$G$3:$G$302=$C183)*('Batches'!$D$3:$D$302&gt;0)*('Batches'!$H$3:$H$302&gt;0))*100000,1))&gt;=100000,"",SUMPRODUCT(SMALL(('Batches'!$A$3:$A$302=$A183)*('Batches'!$G$3:$G$302=$C183)*('Batches'!$D$3:$D$302&gt;0)*('Batches'!$H$3:$H$302&gt;0)*'Batches'!$D$3:$D$302+(1-('Batches'!$A$3:$A$302=$A183)*('Batches'!$G$3:$G$302=$C183)*('Batches'!$D$3:$D$302&gt;0)*('Batches'!$H$3:$H$302&gt;0))*100000,1))))</f>
        <v/>
      </c>
      <c r="J183" s="16">
        <f>IF($A183="","",SUMIFS('Batches'!$H$3:$H$302,'Batches'!$A$3:$A$302,$A183,'Batches'!$G$3:$G$302,$C183,'Batches'!$D$3:$D$302,"&gt;0",'Batches'!$D$3:$D$302,"&lt;="&amp;('Settings'!$B$6+'Settings'!$B$7)))</f>
        <v/>
      </c>
      <c r="K183" s="19">
        <f>IF($A183="","",'Items'!$F183)</f>
        <v/>
      </c>
      <c r="L183" s="19">
        <f>IF($A183="","",$F183*$K183)</f>
        <v/>
      </c>
      <c r="M183" s="16">
        <f>IF($A183="","",IF(AND($H183="Below minimum",OR('Order list'!$B$4="",$D183='Order list'!$B$4)),IFERROR(MATCH($D183,Suppliers,0),99)*10000+ROW(),""))</f>
        <v/>
      </c>
    </row>
    <row r="184">
      <c r="A184" s="8">
        <f>IF('Items'!$A184="","",'Items'!$A184)</f>
        <v/>
      </c>
      <c r="B184" s="8">
        <f>IF($A184="","",'Items'!$B184)</f>
        <v/>
      </c>
      <c r="C184" s="8">
        <f>IF($A184="","",'Items'!$K184)</f>
        <v/>
      </c>
      <c r="D184" s="8">
        <f>IF($A184="","",'Items'!$E184)</f>
        <v/>
      </c>
      <c r="E184" s="8">
        <f>IF($A184="","",'Items'!$D184)</f>
        <v/>
      </c>
      <c r="F184" s="16">
        <f>IF($A184="","",SUMIFS('Batches'!$E$3:$E$302,'Batches'!$A$3:$A$302,$A184,'Batches'!$G$3:$G$302,$C184)+SUMIFS('Movements'!$F$3:$F$1002,'Movements'!$B$3:$B$1002,$A184,'Movements'!$E$3:$E$1002,"In",'Movements'!$H$3:$H$1002,$C184)-SUMIFS('Movements'!$F$3:$F$1002,'Movements'!$B$3:$B$1002,$A184,'Movements'!$E$3:$E$1002,"Out",'Movements'!$G$3:$G$1002,$C184)-SUMIFS('Movements'!$F$3:$F$1002,'Movements'!$B$3:$B$1002,$A184,'Movements'!$E$3:$E$1002,"Waste",'Movements'!$G$3:$G$1002,$C184)+SUMIFS('Movements'!$F$3:$F$1002,'Movements'!$B$3:$B$1002,$A184,'Movements'!$E$3:$E$1002,"Transfer",'Movements'!$H$3:$H$1002,$C184)-SUMIFS('Movements'!$F$3:$F$1002,'Movements'!$B$3:$B$1002,$A184,'Movements'!$E$3:$E$1002,"Transfer",'Movements'!$G$3:$G$1002,$C184))</f>
        <v/>
      </c>
      <c r="G184" s="15">
        <f>IF($A184="","",'Items'!$I184)</f>
        <v/>
      </c>
      <c r="H184" s="8">
        <f>IF(OR($A184="",$G184=""),"",IF($F184&lt;$G184,"Below minimum","OK"))</f>
        <v/>
      </c>
      <c r="I184" s="18">
        <f>IF($A184="","",IF(SUMPRODUCT(SMALL(('Batches'!$A$3:$A$302=$A184)*('Batches'!$G$3:$G$302=$C184)*('Batches'!$D$3:$D$302&gt;0)*('Batches'!$H$3:$H$302&gt;0)*'Batches'!$D$3:$D$302+(1-('Batches'!$A$3:$A$302=$A184)*('Batches'!$G$3:$G$302=$C184)*('Batches'!$D$3:$D$302&gt;0)*('Batches'!$H$3:$H$302&gt;0))*100000,1))&gt;=100000,"",SUMPRODUCT(SMALL(('Batches'!$A$3:$A$302=$A184)*('Batches'!$G$3:$G$302=$C184)*('Batches'!$D$3:$D$302&gt;0)*('Batches'!$H$3:$H$302&gt;0)*'Batches'!$D$3:$D$302+(1-('Batches'!$A$3:$A$302=$A184)*('Batches'!$G$3:$G$302=$C184)*('Batches'!$D$3:$D$302&gt;0)*('Batches'!$H$3:$H$302&gt;0))*100000,1))))</f>
        <v/>
      </c>
      <c r="J184" s="16">
        <f>IF($A184="","",SUMIFS('Batches'!$H$3:$H$302,'Batches'!$A$3:$A$302,$A184,'Batches'!$G$3:$G$302,$C184,'Batches'!$D$3:$D$302,"&gt;0",'Batches'!$D$3:$D$302,"&lt;="&amp;('Settings'!$B$6+'Settings'!$B$7)))</f>
        <v/>
      </c>
      <c r="K184" s="19">
        <f>IF($A184="","",'Items'!$F184)</f>
        <v/>
      </c>
      <c r="L184" s="19">
        <f>IF($A184="","",$F184*$K184)</f>
        <v/>
      </c>
      <c r="M184" s="16">
        <f>IF($A184="","",IF(AND($H184="Below minimum",OR('Order list'!$B$4="",$D184='Order list'!$B$4)),IFERROR(MATCH($D184,Suppliers,0),99)*10000+ROW(),""))</f>
        <v/>
      </c>
    </row>
    <row r="185">
      <c r="A185" s="8">
        <f>IF('Items'!$A185="","",'Items'!$A185)</f>
        <v/>
      </c>
      <c r="B185" s="8">
        <f>IF($A185="","",'Items'!$B185)</f>
        <v/>
      </c>
      <c r="C185" s="8">
        <f>IF($A185="","",'Items'!$K185)</f>
        <v/>
      </c>
      <c r="D185" s="8">
        <f>IF($A185="","",'Items'!$E185)</f>
        <v/>
      </c>
      <c r="E185" s="8">
        <f>IF($A185="","",'Items'!$D185)</f>
        <v/>
      </c>
      <c r="F185" s="16">
        <f>IF($A185="","",SUMIFS('Batches'!$E$3:$E$302,'Batches'!$A$3:$A$302,$A185,'Batches'!$G$3:$G$302,$C185)+SUMIFS('Movements'!$F$3:$F$1002,'Movements'!$B$3:$B$1002,$A185,'Movements'!$E$3:$E$1002,"In",'Movements'!$H$3:$H$1002,$C185)-SUMIFS('Movements'!$F$3:$F$1002,'Movements'!$B$3:$B$1002,$A185,'Movements'!$E$3:$E$1002,"Out",'Movements'!$G$3:$G$1002,$C185)-SUMIFS('Movements'!$F$3:$F$1002,'Movements'!$B$3:$B$1002,$A185,'Movements'!$E$3:$E$1002,"Waste",'Movements'!$G$3:$G$1002,$C185)+SUMIFS('Movements'!$F$3:$F$1002,'Movements'!$B$3:$B$1002,$A185,'Movements'!$E$3:$E$1002,"Transfer",'Movements'!$H$3:$H$1002,$C185)-SUMIFS('Movements'!$F$3:$F$1002,'Movements'!$B$3:$B$1002,$A185,'Movements'!$E$3:$E$1002,"Transfer",'Movements'!$G$3:$G$1002,$C185))</f>
        <v/>
      </c>
      <c r="G185" s="15">
        <f>IF($A185="","",'Items'!$I185)</f>
        <v/>
      </c>
      <c r="H185" s="8">
        <f>IF(OR($A185="",$G185=""),"",IF($F185&lt;$G185,"Below minimum","OK"))</f>
        <v/>
      </c>
      <c r="I185" s="18">
        <f>IF($A185="","",IF(SUMPRODUCT(SMALL(('Batches'!$A$3:$A$302=$A185)*('Batches'!$G$3:$G$302=$C185)*('Batches'!$D$3:$D$302&gt;0)*('Batches'!$H$3:$H$302&gt;0)*'Batches'!$D$3:$D$302+(1-('Batches'!$A$3:$A$302=$A185)*('Batches'!$G$3:$G$302=$C185)*('Batches'!$D$3:$D$302&gt;0)*('Batches'!$H$3:$H$302&gt;0))*100000,1))&gt;=100000,"",SUMPRODUCT(SMALL(('Batches'!$A$3:$A$302=$A185)*('Batches'!$G$3:$G$302=$C185)*('Batches'!$D$3:$D$302&gt;0)*('Batches'!$H$3:$H$302&gt;0)*'Batches'!$D$3:$D$302+(1-('Batches'!$A$3:$A$302=$A185)*('Batches'!$G$3:$G$302=$C185)*('Batches'!$D$3:$D$302&gt;0)*('Batches'!$H$3:$H$302&gt;0))*100000,1))))</f>
        <v/>
      </c>
      <c r="J185" s="16">
        <f>IF($A185="","",SUMIFS('Batches'!$H$3:$H$302,'Batches'!$A$3:$A$302,$A185,'Batches'!$G$3:$G$302,$C185,'Batches'!$D$3:$D$302,"&gt;0",'Batches'!$D$3:$D$302,"&lt;="&amp;('Settings'!$B$6+'Settings'!$B$7)))</f>
        <v/>
      </c>
      <c r="K185" s="19">
        <f>IF($A185="","",'Items'!$F185)</f>
        <v/>
      </c>
      <c r="L185" s="19">
        <f>IF($A185="","",$F185*$K185)</f>
        <v/>
      </c>
      <c r="M185" s="16">
        <f>IF($A185="","",IF(AND($H185="Below minimum",OR('Order list'!$B$4="",$D185='Order list'!$B$4)),IFERROR(MATCH($D185,Suppliers,0),99)*10000+ROW(),""))</f>
        <v/>
      </c>
    </row>
    <row r="186">
      <c r="A186" s="8">
        <f>IF('Items'!$A186="","",'Items'!$A186)</f>
        <v/>
      </c>
      <c r="B186" s="8">
        <f>IF($A186="","",'Items'!$B186)</f>
        <v/>
      </c>
      <c r="C186" s="8">
        <f>IF($A186="","",'Items'!$K186)</f>
        <v/>
      </c>
      <c r="D186" s="8">
        <f>IF($A186="","",'Items'!$E186)</f>
        <v/>
      </c>
      <c r="E186" s="8">
        <f>IF($A186="","",'Items'!$D186)</f>
        <v/>
      </c>
      <c r="F186" s="16">
        <f>IF($A186="","",SUMIFS('Batches'!$E$3:$E$302,'Batches'!$A$3:$A$302,$A186,'Batches'!$G$3:$G$302,$C186)+SUMIFS('Movements'!$F$3:$F$1002,'Movements'!$B$3:$B$1002,$A186,'Movements'!$E$3:$E$1002,"In",'Movements'!$H$3:$H$1002,$C186)-SUMIFS('Movements'!$F$3:$F$1002,'Movements'!$B$3:$B$1002,$A186,'Movements'!$E$3:$E$1002,"Out",'Movements'!$G$3:$G$1002,$C186)-SUMIFS('Movements'!$F$3:$F$1002,'Movements'!$B$3:$B$1002,$A186,'Movements'!$E$3:$E$1002,"Waste",'Movements'!$G$3:$G$1002,$C186)+SUMIFS('Movements'!$F$3:$F$1002,'Movements'!$B$3:$B$1002,$A186,'Movements'!$E$3:$E$1002,"Transfer",'Movements'!$H$3:$H$1002,$C186)-SUMIFS('Movements'!$F$3:$F$1002,'Movements'!$B$3:$B$1002,$A186,'Movements'!$E$3:$E$1002,"Transfer",'Movements'!$G$3:$G$1002,$C186))</f>
        <v/>
      </c>
      <c r="G186" s="15">
        <f>IF($A186="","",'Items'!$I186)</f>
        <v/>
      </c>
      <c r="H186" s="8">
        <f>IF(OR($A186="",$G186=""),"",IF($F186&lt;$G186,"Below minimum","OK"))</f>
        <v/>
      </c>
      <c r="I186" s="18">
        <f>IF($A186="","",IF(SUMPRODUCT(SMALL(('Batches'!$A$3:$A$302=$A186)*('Batches'!$G$3:$G$302=$C186)*('Batches'!$D$3:$D$302&gt;0)*('Batches'!$H$3:$H$302&gt;0)*'Batches'!$D$3:$D$302+(1-('Batches'!$A$3:$A$302=$A186)*('Batches'!$G$3:$G$302=$C186)*('Batches'!$D$3:$D$302&gt;0)*('Batches'!$H$3:$H$302&gt;0))*100000,1))&gt;=100000,"",SUMPRODUCT(SMALL(('Batches'!$A$3:$A$302=$A186)*('Batches'!$G$3:$G$302=$C186)*('Batches'!$D$3:$D$302&gt;0)*('Batches'!$H$3:$H$302&gt;0)*'Batches'!$D$3:$D$302+(1-('Batches'!$A$3:$A$302=$A186)*('Batches'!$G$3:$G$302=$C186)*('Batches'!$D$3:$D$302&gt;0)*('Batches'!$H$3:$H$302&gt;0))*100000,1))))</f>
        <v/>
      </c>
      <c r="J186" s="16">
        <f>IF($A186="","",SUMIFS('Batches'!$H$3:$H$302,'Batches'!$A$3:$A$302,$A186,'Batches'!$G$3:$G$302,$C186,'Batches'!$D$3:$D$302,"&gt;0",'Batches'!$D$3:$D$302,"&lt;="&amp;('Settings'!$B$6+'Settings'!$B$7)))</f>
        <v/>
      </c>
      <c r="K186" s="19">
        <f>IF($A186="","",'Items'!$F186)</f>
        <v/>
      </c>
      <c r="L186" s="19">
        <f>IF($A186="","",$F186*$K186)</f>
        <v/>
      </c>
      <c r="M186" s="16">
        <f>IF($A186="","",IF(AND($H186="Below minimum",OR('Order list'!$B$4="",$D186='Order list'!$B$4)),IFERROR(MATCH($D186,Suppliers,0),99)*10000+ROW(),""))</f>
        <v/>
      </c>
    </row>
    <row r="187">
      <c r="A187" s="8">
        <f>IF('Items'!$A187="","",'Items'!$A187)</f>
        <v/>
      </c>
      <c r="B187" s="8">
        <f>IF($A187="","",'Items'!$B187)</f>
        <v/>
      </c>
      <c r="C187" s="8">
        <f>IF($A187="","",'Items'!$K187)</f>
        <v/>
      </c>
      <c r="D187" s="8">
        <f>IF($A187="","",'Items'!$E187)</f>
        <v/>
      </c>
      <c r="E187" s="8">
        <f>IF($A187="","",'Items'!$D187)</f>
        <v/>
      </c>
      <c r="F187" s="16">
        <f>IF($A187="","",SUMIFS('Batches'!$E$3:$E$302,'Batches'!$A$3:$A$302,$A187,'Batches'!$G$3:$G$302,$C187)+SUMIFS('Movements'!$F$3:$F$1002,'Movements'!$B$3:$B$1002,$A187,'Movements'!$E$3:$E$1002,"In",'Movements'!$H$3:$H$1002,$C187)-SUMIFS('Movements'!$F$3:$F$1002,'Movements'!$B$3:$B$1002,$A187,'Movements'!$E$3:$E$1002,"Out",'Movements'!$G$3:$G$1002,$C187)-SUMIFS('Movements'!$F$3:$F$1002,'Movements'!$B$3:$B$1002,$A187,'Movements'!$E$3:$E$1002,"Waste",'Movements'!$G$3:$G$1002,$C187)+SUMIFS('Movements'!$F$3:$F$1002,'Movements'!$B$3:$B$1002,$A187,'Movements'!$E$3:$E$1002,"Transfer",'Movements'!$H$3:$H$1002,$C187)-SUMIFS('Movements'!$F$3:$F$1002,'Movements'!$B$3:$B$1002,$A187,'Movements'!$E$3:$E$1002,"Transfer",'Movements'!$G$3:$G$1002,$C187))</f>
        <v/>
      </c>
      <c r="G187" s="15">
        <f>IF($A187="","",'Items'!$I187)</f>
        <v/>
      </c>
      <c r="H187" s="8">
        <f>IF(OR($A187="",$G187=""),"",IF($F187&lt;$G187,"Below minimum","OK"))</f>
        <v/>
      </c>
      <c r="I187" s="18">
        <f>IF($A187="","",IF(SUMPRODUCT(SMALL(('Batches'!$A$3:$A$302=$A187)*('Batches'!$G$3:$G$302=$C187)*('Batches'!$D$3:$D$302&gt;0)*('Batches'!$H$3:$H$302&gt;0)*'Batches'!$D$3:$D$302+(1-('Batches'!$A$3:$A$302=$A187)*('Batches'!$G$3:$G$302=$C187)*('Batches'!$D$3:$D$302&gt;0)*('Batches'!$H$3:$H$302&gt;0))*100000,1))&gt;=100000,"",SUMPRODUCT(SMALL(('Batches'!$A$3:$A$302=$A187)*('Batches'!$G$3:$G$302=$C187)*('Batches'!$D$3:$D$302&gt;0)*('Batches'!$H$3:$H$302&gt;0)*'Batches'!$D$3:$D$302+(1-('Batches'!$A$3:$A$302=$A187)*('Batches'!$G$3:$G$302=$C187)*('Batches'!$D$3:$D$302&gt;0)*('Batches'!$H$3:$H$302&gt;0))*100000,1))))</f>
        <v/>
      </c>
      <c r="J187" s="16">
        <f>IF($A187="","",SUMIFS('Batches'!$H$3:$H$302,'Batches'!$A$3:$A$302,$A187,'Batches'!$G$3:$G$302,$C187,'Batches'!$D$3:$D$302,"&gt;0",'Batches'!$D$3:$D$302,"&lt;="&amp;('Settings'!$B$6+'Settings'!$B$7)))</f>
        <v/>
      </c>
      <c r="K187" s="19">
        <f>IF($A187="","",'Items'!$F187)</f>
        <v/>
      </c>
      <c r="L187" s="19">
        <f>IF($A187="","",$F187*$K187)</f>
        <v/>
      </c>
      <c r="M187" s="16">
        <f>IF($A187="","",IF(AND($H187="Below minimum",OR('Order list'!$B$4="",$D187='Order list'!$B$4)),IFERROR(MATCH($D187,Suppliers,0),99)*10000+ROW(),""))</f>
        <v/>
      </c>
    </row>
    <row r="188">
      <c r="A188" s="8">
        <f>IF('Items'!$A188="","",'Items'!$A188)</f>
        <v/>
      </c>
      <c r="B188" s="8">
        <f>IF($A188="","",'Items'!$B188)</f>
        <v/>
      </c>
      <c r="C188" s="8">
        <f>IF($A188="","",'Items'!$K188)</f>
        <v/>
      </c>
      <c r="D188" s="8">
        <f>IF($A188="","",'Items'!$E188)</f>
        <v/>
      </c>
      <c r="E188" s="8">
        <f>IF($A188="","",'Items'!$D188)</f>
        <v/>
      </c>
      <c r="F188" s="16">
        <f>IF($A188="","",SUMIFS('Batches'!$E$3:$E$302,'Batches'!$A$3:$A$302,$A188,'Batches'!$G$3:$G$302,$C188)+SUMIFS('Movements'!$F$3:$F$1002,'Movements'!$B$3:$B$1002,$A188,'Movements'!$E$3:$E$1002,"In",'Movements'!$H$3:$H$1002,$C188)-SUMIFS('Movements'!$F$3:$F$1002,'Movements'!$B$3:$B$1002,$A188,'Movements'!$E$3:$E$1002,"Out",'Movements'!$G$3:$G$1002,$C188)-SUMIFS('Movements'!$F$3:$F$1002,'Movements'!$B$3:$B$1002,$A188,'Movements'!$E$3:$E$1002,"Waste",'Movements'!$G$3:$G$1002,$C188)+SUMIFS('Movements'!$F$3:$F$1002,'Movements'!$B$3:$B$1002,$A188,'Movements'!$E$3:$E$1002,"Transfer",'Movements'!$H$3:$H$1002,$C188)-SUMIFS('Movements'!$F$3:$F$1002,'Movements'!$B$3:$B$1002,$A188,'Movements'!$E$3:$E$1002,"Transfer",'Movements'!$G$3:$G$1002,$C188))</f>
        <v/>
      </c>
      <c r="G188" s="15">
        <f>IF($A188="","",'Items'!$I188)</f>
        <v/>
      </c>
      <c r="H188" s="8">
        <f>IF(OR($A188="",$G188=""),"",IF($F188&lt;$G188,"Below minimum","OK"))</f>
        <v/>
      </c>
      <c r="I188" s="18">
        <f>IF($A188="","",IF(SUMPRODUCT(SMALL(('Batches'!$A$3:$A$302=$A188)*('Batches'!$G$3:$G$302=$C188)*('Batches'!$D$3:$D$302&gt;0)*('Batches'!$H$3:$H$302&gt;0)*'Batches'!$D$3:$D$302+(1-('Batches'!$A$3:$A$302=$A188)*('Batches'!$G$3:$G$302=$C188)*('Batches'!$D$3:$D$302&gt;0)*('Batches'!$H$3:$H$302&gt;0))*100000,1))&gt;=100000,"",SUMPRODUCT(SMALL(('Batches'!$A$3:$A$302=$A188)*('Batches'!$G$3:$G$302=$C188)*('Batches'!$D$3:$D$302&gt;0)*('Batches'!$H$3:$H$302&gt;0)*'Batches'!$D$3:$D$302+(1-('Batches'!$A$3:$A$302=$A188)*('Batches'!$G$3:$G$302=$C188)*('Batches'!$D$3:$D$302&gt;0)*('Batches'!$H$3:$H$302&gt;0))*100000,1))))</f>
        <v/>
      </c>
      <c r="J188" s="16">
        <f>IF($A188="","",SUMIFS('Batches'!$H$3:$H$302,'Batches'!$A$3:$A$302,$A188,'Batches'!$G$3:$G$302,$C188,'Batches'!$D$3:$D$302,"&gt;0",'Batches'!$D$3:$D$302,"&lt;="&amp;('Settings'!$B$6+'Settings'!$B$7)))</f>
        <v/>
      </c>
      <c r="K188" s="19">
        <f>IF($A188="","",'Items'!$F188)</f>
        <v/>
      </c>
      <c r="L188" s="19">
        <f>IF($A188="","",$F188*$K188)</f>
        <v/>
      </c>
      <c r="M188" s="16">
        <f>IF($A188="","",IF(AND($H188="Below minimum",OR('Order list'!$B$4="",$D188='Order list'!$B$4)),IFERROR(MATCH($D188,Suppliers,0),99)*10000+ROW(),""))</f>
        <v/>
      </c>
    </row>
    <row r="189">
      <c r="A189" s="8">
        <f>IF('Items'!$A189="","",'Items'!$A189)</f>
        <v/>
      </c>
      <c r="B189" s="8">
        <f>IF($A189="","",'Items'!$B189)</f>
        <v/>
      </c>
      <c r="C189" s="8">
        <f>IF($A189="","",'Items'!$K189)</f>
        <v/>
      </c>
      <c r="D189" s="8">
        <f>IF($A189="","",'Items'!$E189)</f>
        <v/>
      </c>
      <c r="E189" s="8">
        <f>IF($A189="","",'Items'!$D189)</f>
        <v/>
      </c>
      <c r="F189" s="16">
        <f>IF($A189="","",SUMIFS('Batches'!$E$3:$E$302,'Batches'!$A$3:$A$302,$A189,'Batches'!$G$3:$G$302,$C189)+SUMIFS('Movements'!$F$3:$F$1002,'Movements'!$B$3:$B$1002,$A189,'Movements'!$E$3:$E$1002,"In",'Movements'!$H$3:$H$1002,$C189)-SUMIFS('Movements'!$F$3:$F$1002,'Movements'!$B$3:$B$1002,$A189,'Movements'!$E$3:$E$1002,"Out",'Movements'!$G$3:$G$1002,$C189)-SUMIFS('Movements'!$F$3:$F$1002,'Movements'!$B$3:$B$1002,$A189,'Movements'!$E$3:$E$1002,"Waste",'Movements'!$G$3:$G$1002,$C189)+SUMIFS('Movements'!$F$3:$F$1002,'Movements'!$B$3:$B$1002,$A189,'Movements'!$E$3:$E$1002,"Transfer",'Movements'!$H$3:$H$1002,$C189)-SUMIFS('Movements'!$F$3:$F$1002,'Movements'!$B$3:$B$1002,$A189,'Movements'!$E$3:$E$1002,"Transfer",'Movements'!$G$3:$G$1002,$C189))</f>
        <v/>
      </c>
      <c r="G189" s="15">
        <f>IF($A189="","",'Items'!$I189)</f>
        <v/>
      </c>
      <c r="H189" s="8">
        <f>IF(OR($A189="",$G189=""),"",IF($F189&lt;$G189,"Below minimum","OK"))</f>
        <v/>
      </c>
      <c r="I189" s="18">
        <f>IF($A189="","",IF(SUMPRODUCT(SMALL(('Batches'!$A$3:$A$302=$A189)*('Batches'!$G$3:$G$302=$C189)*('Batches'!$D$3:$D$302&gt;0)*('Batches'!$H$3:$H$302&gt;0)*'Batches'!$D$3:$D$302+(1-('Batches'!$A$3:$A$302=$A189)*('Batches'!$G$3:$G$302=$C189)*('Batches'!$D$3:$D$302&gt;0)*('Batches'!$H$3:$H$302&gt;0))*100000,1))&gt;=100000,"",SUMPRODUCT(SMALL(('Batches'!$A$3:$A$302=$A189)*('Batches'!$G$3:$G$302=$C189)*('Batches'!$D$3:$D$302&gt;0)*('Batches'!$H$3:$H$302&gt;0)*'Batches'!$D$3:$D$302+(1-('Batches'!$A$3:$A$302=$A189)*('Batches'!$G$3:$G$302=$C189)*('Batches'!$D$3:$D$302&gt;0)*('Batches'!$H$3:$H$302&gt;0))*100000,1))))</f>
        <v/>
      </c>
      <c r="J189" s="16">
        <f>IF($A189="","",SUMIFS('Batches'!$H$3:$H$302,'Batches'!$A$3:$A$302,$A189,'Batches'!$G$3:$G$302,$C189,'Batches'!$D$3:$D$302,"&gt;0",'Batches'!$D$3:$D$302,"&lt;="&amp;('Settings'!$B$6+'Settings'!$B$7)))</f>
        <v/>
      </c>
      <c r="K189" s="19">
        <f>IF($A189="","",'Items'!$F189)</f>
        <v/>
      </c>
      <c r="L189" s="19">
        <f>IF($A189="","",$F189*$K189)</f>
        <v/>
      </c>
      <c r="M189" s="16">
        <f>IF($A189="","",IF(AND($H189="Below minimum",OR('Order list'!$B$4="",$D189='Order list'!$B$4)),IFERROR(MATCH($D189,Suppliers,0),99)*10000+ROW(),""))</f>
        <v/>
      </c>
    </row>
    <row r="190">
      <c r="A190" s="8">
        <f>IF('Items'!$A190="","",'Items'!$A190)</f>
        <v/>
      </c>
      <c r="B190" s="8">
        <f>IF($A190="","",'Items'!$B190)</f>
        <v/>
      </c>
      <c r="C190" s="8">
        <f>IF($A190="","",'Items'!$K190)</f>
        <v/>
      </c>
      <c r="D190" s="8">
        <f>IF($A190="","",'Items'!$E190)</f>
        <v/>
      </c>
      <c r="E190" s="8">
        <f>IF($A190="","",'Items'!$D190)</f>
        <v/>
      </c>
      <c r="F190" s="16">
        <f>IF($A190="","",SUMIFS('Batches'!$E$3:$E$302,'Batches'!$A$3:$A$302,$A190,'Batches'!$G$3:$G$302,$C190)+SUMIFS('Movements'!$F$3:$F$1002,'Movements'!$B$3:$B$1002,$A190,'Movements'!$E$3:$E$1002,"In",'Movements'!$H$3:$H$1002,$C190)-SUMIFS('Movements'!$F$3:$F$1002,'Movements'!$B$3:$B$1002,$A190,'Movements'!$E$3:$E$1002,"Out",'Movements'!$G$3:$G$1002,$C190)-SUMIFS('Movements'!$F$3:$F$1002,'Movements'!$B$3:$B$1002,$A190,'Movements'!$E$3:$E$1002,"Waste",'Movements'!$G$3:$G$1002,$C190)+SUMIFS('Movements'!$F$3:$F$1002,'Movements'!$B$3:$B$1002,$A190,'Movements'!$E$3:$E$1002,"Transfer",'Movements'!$H$3:$H$1002,$C190)-SUMIFS('Movements'!$F$3:$F$1002,'Movements'!$B$3:$B$1002,$A190,'Movements'!$E$3:$E$1002,"Transfer",'Movements'!$G$3:$G$1002,$C190))</f>
        <v/>
      </c>
      <c r="G190" s="15">
        <f>IF($A190="","",'Items'!$I190)</f>
        <v/>
      </c>
      <c r="H190" s="8">
        <f>IF(OR($A190="",$G190=""),"",IF($F190&lt;$G190,"Below minimum","OK"))</f>
        <v/>
      </c>
      <c r="I190" s="18">
        <f>IF($A190="","",IF(SUMPRODUCT(SMALL(('Batches'!$A$3:$A$302=$A190)*('Batches'!$G$3:$G$302=$C190)*('Batches'!$D$3:$D$302&gt;0)*('Batches'!$H$3:$H$302&gt;0)*'Batches'!$D$3:$D$302+(1-('Batches'!$A$3:$A$302=$A190)*('Batches'!$G$3:$G$302=$C190)*('Batches'!$D$3:$D$302&gt;0)*('Batches'!$H$3:$H$302&gt;0))*100000,1))&gt;=100000,"",SUMPRODUCT(SMALL(('Batches'!$A$3:$A$302=$A190)*('Batches'!$G$3:$G$302=$C190)*('Batches'!$D$3:$D$302&gt;0)*('Batches'!$H$3:$H$302&gt;0)*'Batches'!$D$3:$D$302+(1-('Batches'!$A$3:$A$302=$A190)*('Batches'!$G$3:$G$302=$C190)*('Batches'!$D$3:$D$302&gt;0)*('Batches'!$H$3:$H$302&gt;0))*100000,1))))</f>
        <v/>
      </c>
      <c r="J190" s="16">
        <f>IF($A190="","",SUMIFS('Batches'!$H$3:$H$302,'Batches'!$A$3:$A$302,$A190,'Batches'!$G$3:$G$302,$C190,'Batches'!$D$3:$D$302,"&gt;0",'Batches'!$D$3:$D$302,"&lt;="&amp;('Settings'!$B$6+'Settings'!$B$7)))</f>
        <v/>
      </c>
      <c r="K190" s="19">
        <f>IF($A190="","",'Items'!$F190)</f>
        <v/>
      </c>
      <c r="L190" s="19">
        <f>IF($A190="","",$F190*$K190)</f>
        <v/>
      </c>
      <c r="M190" s="16">
        <f>IF($A190="","",IF(AND($H190="Below minimum",OR('Order list'!$B$4="",$D190='Order list'!$B$4)),IFERROR(MATCH($D190,Suppliers,0),99)*10000+ROW(),""))</f>
        <v/>
      </c>
    </row>
    <row r="191">
      <c r="A191" s="8">
        <f>IF('Items'!$A191="","",'Items'!$A191)</f>
        <v/>
      </c>
      <c r="B191" s="8">
        <f>IF($A191="","",'Items'!$B191)</f>
        <v/>
      </c>
      <c r="C191" s="8">
        <f>IF($A191="","",'Items'!$K191)</f>
        <v/>
      </c>
      <c r="D191" s="8">
        <f>IF($A191="","",'Items'!$E191)</f>
        <v/>
      </c>
      <c r="E191" s="8">
        <f>IF($A191="","",'Items'!$D191)</f>
        <v/>
      </c>
      <c r="F191" s="16">
        <f>IF($A191="","",SUMIFS('Batches'!$E$3:$E$302,'Batches'!$A$3:$A$302,$A191,'Batches'!$G$3:$G$302,$C191)+SUMIFS('Movements'!$F$3:$F$1002,'Movements'!$B$3:$B$1002,$A191,'Movements'!$E$3:$E$1002,"In",'Movements'!$H$3:$H$1002,$C191)-SUMIFS('Movements'!$F$3:$F$1002,'Movements'!$B$3:$B$1002,$A191,'Movements'!$E$3:$E$1002,"Out",'Movements'!$G$3:$G$1002,$C191)-SUMIFS('Movements'!$F$3:$F$1002,'Movements'!$B$3:$B$1002,$A191,'Movements'!$E$3:$E$1002,"Waste",'Movements'!$G$3:$G$1002,$C191)+SUMIFS('Movements'!$F$3:$F$1002,'Movements'!$B$3:$B$1002,$A191,'Movements'!$E$3:$E$1002,"Transfer",'Movements'!$H$3:$H$1002,$C191)-SUMIFS('Movements'!$F$3:$F$1002,'Movements'!$B$3:$B$1002,$A191,'Movements'!$E$3:$E$1002,"Transfer",'Movements'!$G$3:$G$1002,$C191))</f>
        <v/>
      </c>
      <c r="G191" s="15">
        <f>IF($A191="","",'Items'!$I191)</f>
        <v/>
      </c>
      <c r="H191" s="8">
        <f>IF(OR($A191="",$G191=""),"",IF($F191&lt;$G191,"Below minimum","OK"))</f>
        <v/>
      </c>
      <c r="I191" s="18">
        <f>IF($A191="","",IF(SUMPRODUCT(SMALL(('Batches'!$A$3:$A$302=$A191)*('Batches'!$G$3:$G$302=$C191)*('Batches'!$D$3:$D$302&gt;0)*('Batches'!$H$3:$H$302&gt;0)*'Batches'!$D$3:$D$302+(1-('Batches'!$A$3:$A$302=$A191)*('Batches'!$G$3:$G$302=$C191)*('Batches'!$D$3:$D$302&gt;0)*('Batches'!$H$3:$H$302&gt;0))*100000,1))&gt;=100000,"",SUMPRODUCT(SMALL(('Batches'!$A$3:$A$302=$A191)*('Batches'!$G$3:$G$302=$C191)*('Batches'!$D$3:$D$302&gt;0)*('Batches'!$H$3:$H$302&gt;0)*'Batches'!$D$3:$D$302+(1-('Batches'!$A$3:$A$302=$A191)*('Batches'!$G$3:$G$302=$C191)*('Batches'!$D$3:$D$302&gt;0)*('Batches'!$H$3:$H$302&gt;0))*100000,1))))</f>
        <v/>
      </c>
      <c r="J191" s="16">
        <f>IF($A191="","",SUMIFS('Batches'!$H$3:$H$302,'Batches'!$A$3:$A$302,$A191,'Batches'!$G$3:$G$302,$C191,'Batches'!$D$3:$D$302,"&gt;0",'Batches'!$D$3:$D$302,"&lt;="&amp;('Settings'!$B$6+'Settings'!$B$7)))</f>
        <v/>
      </c>
      <c r="K191" s="19">
        <f>IF($A191="","",'Items'!$F191)</f>
        <v/>
      </c>
      <c r="L191" s="19">
        <f>IF($A191="","",$F191*$K191)</f>
        <v/>
      </c>
      <c r="M191" s="16">
        <f>IF($A191="","",IF(AND($H191="Below minimum",OR('Order list'!$B$4="",$D191='Order list'!$B$4)),IFERROR(MATCH($D191,Suppliers,0),99)*10000+ROW(),""))</f>
        <v/>
      </c>
    </row>
    <row r="192">
      <c r="A192" s="8">
        <f>IF('Items'!$A192="","",'Items'!$A192)</f>
        <v/>
      </c>
      <c r="B192" s="8">
        <f>IF($A192="","",'Items'!$B192)</f>
        <v/>
      </c>
      <c r="C192" s="8">
        <f>IF($A192="","",'Items'!$K192)</f>
        <v/>
      </c>
      <c r="D192" s="8">
        <f>IF($A192="","",'Items'!$E192)</f>
        <v/>
      </c>
      <c r="E192" s="8">
        <f>IF($A192="","",'Items'!$D192)</f>
        <v/>
      </c>
      <c r="F192" s="16">
        <f>IF($A192="","",SUMIFS('Batches'!$E$3:$E$302,'Batches'!$A$3:$A$302,$A192,'Batches'!$G$3:$G$302,$C192)+SUMIFS('Movements'!$F$3:$F$1002,'Movements'!$B$3:$B$1002,$A192,'Movements'!$E$3:$E$1002,"In",'Movements'!$H$3:$H$1002,$C192)-SUMIFS('Movements'!$F$3:$F$1002,'Movements'!$B$3:$B$1002,$A192,'Movements'!$E$3:$E$1002,"Out",'Movements'!$G$3:$G$1002,$C192)-SUMIFS('Movements'!$F$3:$F$1002,'Movements'!$B$3:$B$1002,$A192,'Movements'!$E$3:$E$1002,"Waste",'Movements'!$G$3:$G$1002,$C192)+SUMIFS('Movements'!$F$3:$F$1002,'Movements'!$B$3:$B$1002,$A192,'Movements'!$E$3:$E$1002,"Transfer",'Movements'!$H$3:$H$1002,$C192)-SUMIFS('Movements'!$F$3:$F$1002,'Movements'!$B$3:$B$1002,$A192,'Movements'!$E$3:$E$1002,"Transfer",'Movements'!$G$3:$G$1002,$C192))</f>
        <v/>
      </c>
      <c r="G192" s="15">
        <f>IF($A192="","",'Items'!$I192)</f>
        <v/>
      </c>
      <c r="H192" s="8">
        <f>IF(OR($A192="",$G192=""),"",IF($F192&lt;$G192,"Below minimum","OK"))</f>
        <v/>
      </c>
      <c r="I192" s="18">
        <f>IF($A192="","",IF(SUMPRODUCT(SMALL(('Batches'!$A$3:$A$302=$A192)*('Batches'!$G$3:$G$302=$C192)*('Batches'!$D$3:$D$302&gt;0)*('Batches'!$H$3:$H$302&gt;0)*'Batches'!$D$3:$D$302+(1-('Batches'!$A$3:$A$302=$A192)*('Batches'!$G$3:$G$302=$C192)*('Batches'!$D$3:$D$302&gt;0)*('Batches'!$H$3:$H$302&gt;0))*100000,1))&gt;=100000,"",SUMPRODUCT(SMALL(('Batches'!$A$3:$A$302=$A192)*('Batches'!$G$3:$G$302=$C192)*('Batches'!$D$3:$D$302&gt;0)*('Batches'!$H$3:$H$302&gt;0)*'Batches'!$D$3:$D$302+(1-('Batches'!$A$3:$A$302=$A192)*('Batches'!$G$3:$G$302=$C192)*('Batches'!$D$3:$D$302&gt;0)*('Batches'!$H$3:$H$302&gt;0))*100000,1))))</f>
        <v/>
      </c>
      <c r="J192" s="16">
        <f>IF($A192="","",SUMIFS('Batches'!$H$3:$H$302,'Batches'!$A$3:$A$302,$A192,'Batches'!$G$3:$G$302,$C192,'Batches'!$D$3:$D$302,"&gt;0",'Batches'!$D$3:$D$302,"&lt;="&amp;('Settings'!$B$6+'Settings'!$B$7)))</f>
        <v/>
      </c>
      <c r="K192" s="19">
        <f>IF($A192="","",'Items'!$F192)</f>
        <v/>
      </c>
      <c r="L192" s="19">
        <f>IF($A192="","",$F192*$K192)</f>
        <v/>
      </c>
      <c r="M192" s="16">
        <f>IF($A192="","",IF(AND($H192="Below minimum",OR('Order list'!$B$4="",$D192='Order list'!$B$4)),IFERROR(MATCH($D192,Suppliers,0),99)*10000+ROW(),""))</f>
        <v/>
      </c>
    </row>
    <row r="193">
      <c r="A193" s="8">
        <f>IF('Items'!$A193="","",'Items'!$A193)</f>
        <v/>
      </c>
      <c r="B193" s="8">
        <f>IF($A193="","",'Items'!$B193)</f>
        <v/>
      </c>
      <c r="C193" s="8">
        <f>IF($A193="","",'Items'!$K193)</f>
        <v/>
      </c>
      <c r="D193" s="8">
        <f>IF($A193="","",'Items'!$E193)</f>
        <v/>
      </c>
      <c r="E193" s="8">
        <f>IF($A193="","",'Items'!$D193)</f>
        <v/>
      </c>
      <c r="F193" s="16">
        <f>IF($A193="","",SUMIFS('Batches'!$E$3:$E$302,'Batches'!$A$3:$A$302,$A193,'Batches'!$G$3:$G$302,$C193)+SUMIFS('Movements'!$F$3:$F$1002,'Movements'!$B$3:$B$1002,$A193,'Movements'!$E$3:$E$1002,"In",'Movements'!$H$3:$H$1002,$C193)-SUMIFS('Movements'!$F$3:$F$1002,'Movements'!$B$3:$B$1002,$A193,'Movements'!$E$3:$E$1002,"Out",'Movements'!$G$3:$G$1002,$C193)-SUMIFS('Movements'!$F$3:$F$1002,'Movements'!$B$3:$B$1002,$A193,'Movements'!$E$3:$E$1002,"Waste",'Movements'!$G$3:$G$1002,$C193)+SUMIFS('Movements'!$F$3:$F$1002,'Movements'!$B$3:$B$1002,$A193,'Movements'!$E$3:$E$1002,"Transfer",'Movements'!$H$3:$H$1002,$C193)-SUMIFS('Movements'!$F$3:$F$1002,'Movements'!$B$3:$B$1002,$A193,'Movements'!$E$3:$E$1002,"Transfer",'Movements'!$G$3:$G$1002,$C193))</f>
        <v/>
      </c>
      <c r="G193" s="15">
        <f>IF($A193="","",'Items'!$I193)</f>
        <v/>
      </c>
      <c r="H193" s="8">
        <f>IF(OR($A193="",$G193=""),"",IF($F193&lt;$G193,"Below minimum","OK"))</f>
        <v/>
      </c>
      <c r="I193" s="18">
        <f>IF($A193="","",IF(SUMPRODUCT(SMALL(('Batches'!$A$3:$A$302=$A193)*('Batches'!$G$3:$G$302=$C193)*('Batches'!$D$3:$D$302&gt;0)*('Batches'!$H$3:$H$302&gt;0)*'Batches'!$D$3:$D$302+(1-('Batches'!$A$3:$A$302=$A193)*('Batches'!$G$3:$G$302=$C193)*('Batches'!$D$3:$D$302&gt;0)*('Batches'!$H$3:$H$302&gt;0))*100000,1))&gt;=100000,"",SUMPRODUCT(SMALL(('Batches'!$A$3:$A$302=$A193)*('Batches'!$G$3:$G$302=$C193)*('Batches'!$D$3:$D$302&gt;0)*('Batches'!$H$3:$H$302&gt;0)*'Batches'!$D$3:$D$302+(1-('Batches'!$A$3:$A$302=$A193)*('Batches'!$G$3:$G$302=$C193)*('Batches'!$D$3:$D$302&gt;0)*('Batches'!$H$3:$H$302&gt;0))*100000,1))))</f>
        <v/>
      </c>
      <c r="J193" s="16">
        <f>IF($A193="","",SUMIFS('Batches'!$H$3:$H$302,'Batches'!$A$3:$A$302,$A193,'Batches'!$G$3:$G$302,$C193,'Batches'!$D$3:$D$302,"&gt;0",'Batches'!$D$3:$D$302,"&lt;="&amp;('Settings'!$B$6+'Settings'!$B$7)))</f>
        <v/>
      </c>
      <c r="K193" s="19">
        <f>IF($A193="","",'Items'!$F193)</f>
        <v/>
      </c>
      <c r="L193" s="19">
        <f>IF($A193="","",$F193*$K193)</f>
        <v/>
      </c>
      <c r="M193" s="16">
        <f>IF($A193="","",IF(AND($H193="Below minimum",OR('Order list'!$B$4="",$D193='Order list'!$B$4)),IFERROR(MATCH($D193,Suppliers,0),99)*10000+ROW(),""))</f>
        <v/>
      </c>
    </row>
    <row r="194">
      <c r="A194" s="8">
        <f>IF('Items'!$A194="","",'Items'!$A194)</f>
        <v/>
      </c>
      <c r="B194" s="8">
        <f>IF($A194="","",'Items'!$B194)</f>
        <v/>
      </c>
      <c r="C194" s="8">
        <f>IF($A194="","",'Items'!$K194)</f>
        <v/>
      </c>
      <c r="D194" s="8">
        <f>IF($A194="","",'Items'!$E194)</f>
        <v/>
      </c>
      <c r="E194" s="8">
        <f>IF($A194="","",'Items'!$D194)</f>
        <v/>
      </c>
      <c r="F194" s="16">
        <f>IF($A194="","",SUMIFS('Batches'!$E$3:$E$302,'Batches'!$A$3:$A$302,$A194,'Batches'!$G$3:$G$302,$C194)+SUMIFS('Movements'!$F$3:$F$1002,'Movements'!$B$3:$B$1002,$A194,'Movements'!$E$3:$E$1002,"In",'Movements'!$H$3:$H$1002,$C194)-SUMIFS('Movements'!$F$3:$F$1002,'Movements'!$B$3:$B$1002,$A194,'Movements'!$E$3:$E$1002,"Out",'Movements'!$G$3:$G$1002,$C194)-SUMIFS('Movements'!$F$3:$F$1002,'Movements'!$B$3:$B$1002,$A194,'Movements'!$E$3:$E$1002,"Waste",'Movements'!$G$3:$G$1002,$C194)+SUMIFS('Movements'!$F$3:$F$1002,'Movements'!$B$3:$B$1002,$A194,'Movements'!$E$3:$E$1002,"Transfer",'Movements'!$H$3:$H$1002,$C194)-SUMIFS('Movements'!$F$3:$F$1002,'Movements'!$B$3:$B$1002,$A194,'Movements'!$E$3:$E$1002,"Transfer",'Movements'!$G$3:$G$1002,$C194))</f>
        <v/>
      </c>
      <c r="G194" s="15">
        <f>IF($A194="","",'Items'!$I194)</f>
        <v/>
      </c>
      <c r="H194" s="8">
        <f>IF(OR($A194="",$G194=""),"",IF($F194&lt;$G194,"Below minimum","OK"))</f>
        <v/>
      </c>
      <c r="I194" s="18">
        <f>IF($A194="","",IF(SUMPRODUCT(SMALL(('Batches'!$A$3:$A$302=$A194)*('Batches'!$G$3:$G$302=$C194)*('Batches'!$D$3:$D$302&gt;0)*('Batches'!$H$3:$H$302&gt;0)*'Batches'!$D$3:$D$302+(1-('Batches'!$A$3:$A$302=$A194)*('Batches'!$G$3:$G$302=$C194)*('Batches'!$D$3:$D$302&gt;0)*('Batches'!$H$3:$H$302&gt;0))*100000,1))&gt;=100000,"",SUMPRODUCT(SMALL(('Batches'!$A$3:$A$302=$A194)*('Batches'!$G$3:$G$302=$C194)*('Batches'!$D$3:$D$302&gt;0)*('Batches'!$H$3:$H$302&gt;0)*'Batches'!$D$3:$D$302+(1-('Batches'!$A$3:$A$302=$A194)*('Batches'!$G$3:$G$302=$C194)*('Batches'!$D$3:$D$302&gt;0)*('Batches'!$H$3:$H$302&gt;0))*100000,1))))</f>
        <v/>
      </c>
      <c r="J194" s="16">
        <f>IF($A194="","",SUMIFS('Batches'!$H$3:$H$302,'Batches'!$A$3:$A$302,$A194,'Batches'!$G$3:$G$302,$C194,'Batches'!$D$3:$D$302,"&gt;0",'Batches'!$D$3:$D$302,"&lt;="&amp;('Settings'!$B$6+'Settings'!$B$7)))</f>
        <v/>
      </c>
      <c r="K194" s="19">
        <f>IF($A194="","",'Items'!$F194)</f>
        <v/>
      </c>
      <c r="L194" s="19">
        <f>IF($A194="","",$F194*$K194)</f>
        <v/>
      </c>
      <c r="M194" s="16">
        <f>IF($A194="","",IF(AND($H194="Below minimum",OR('Order list'!$B$4="",$D194='Order list'!$B$4)),IFERROR(MATCH($D194,Suppliers,0),99)*10000+ROW(),""))</f>
        <v/>
      </c>
    </row>
    <row r="195">
      <c r="A195" s="8">
        <f>IF('Items'!$A195="","",'Items'!$A195)</f>
        <v/>
      </c>
      <c r="B195" s="8">
        <f>IF($A195="","",'Items'!$B195)</f>
        <v/>
      </c>
      <c r="C195" s="8">
        <f>IF($A195="","",'Items'!$K195)</f>
        <v/>
      </c>
      <c r="D195" s="8">
        <f>IF($A195="","",'Items'!$E195)</f>
        <v/>
      </c>
      <c r="E195" s="8">
        <f>IF($A195="","",'Items'!$D195)</f>
        <v/>
      </c>
      <c r="F195" s="16">
        <f>IF($A195="","",SUMIFS('Batches'!$E$3:$E$302,'Batches'!$A$3:$A$302,$A195,'Batches'!$G$3:$G$302,$C195)+SUMIFS('Movements'!$F$3:$F$1002,'Movements'!$B$3:$B$1002,$A195,'Movements'!$E$3:$E$1002,"In",'Movements'!$H$3:$H$1002,$C195)-SUMIFS('Movements'!$F$3:$F$1002,'Movements'!$B$3:$B$1002,$A195,'Movements'!$E$3:$E$1002,"Out",'Movements'!$G$3:$G$1002,$C195)-SUMIFS('Movements'!$F$3:$F$1002,'Movements'!$B$3:$B$1002,$A195,'Movements'!$E$3:$E$1002,"Waste",'Movements'!$G$3:$G$1002,$C195)+SUMIFS('Movements'!$F$3:$F$1002,'Movements'!$B$3:$B$1002,$A195,'Movements'!$E$3:$E$1002,"Transfer",'Movements'!$H$3:$H$1002,$C195)-SUMIFS('Movements'!$F$3:$F$1002,'Movements'!$B$3:$B$1002,$A195,'Movements'!$E$3:$E$1002,"Transfer",'Movements'!$G$3:$G$1002,$C195))</f>
        <v/>
      </c>
      <c r="G195" s="15">
        <f>IF($A195="","",'Items'!$I195)</f>
        <v/>
      </c>
      <c r="H195" s="8">
        <f>IF(OR($A195="",$G195=""),"",IF($F195&lt;$G195,"Below minimum","OK"))</f>
        <v/>
      </c>
      <c r="I195" s="18">
        <f>IF($A195="","",IF(SUMPRODUCT(SMALL(('Batches'!$A$3:$A$302=$A195)*('Batches'!$G$3:$G$302=$C195)*('Batches'!$D$3:$D$302&gt;0)*('Batches'!$H$3:$H$302&gt;0)*'Batches'!$D$3:$D$302+(1-('Batches'!$A$3:$A$302=$A195)*('Batches'!$G$3:$G$302=$C195)*('Batches'!$D$3:$D$302&gt;0)*('Batches'!$H$3:$H$302&gt;0))*100000,1))&gt;=100000,"",SUMPRODUCT(SMALL(('Batches'!$A$3:$A$302=$A195)*('Batches'!$G$3:$G$302=$C195)*('Batches'!$D$3:$D$302&gt;0)*('Batches'!$H$3:$H$302&gt;0)*'Batches'!$D$3:$D$302+(1-('Batches'!$A$3:$A$302=$A195)*('Batches'!$G$3:$G$302=$C195)*('Batches'!$D$3:$D$302&gt;0)*('Batches'!$H$3:$H$302&gt;0))*100000,1))))</f>
        <v/>
      </c>
      <c r="J195" s="16">
        <f>IF($A195="","",SUMIFS('Batches'!$H$3:$H$302,'Batches'!$A$3:$A$302,$A195,'Batches'!$G$3:$G$302,$C195,'Batches'!$D$3:$D$302,"&gt;0",'Batches'!$D$3:$D$302,"&lt;="&amp;('Settings'!$B$6+'Settings'!$B$7)))</f>
        <v/>
      </c>
      <c r="K195" s="19">
        <f>IF($A195="","",'Items'!$F195)</f>
        <v/>
      </c>
      <c r="L195" s="19">
        <f>IF($A195="","",$F195*$K195)</f>
        <v/>
      </c>
      <c r="M195" s="16">
        <f>IF($A195="","",IF(AND($H195="Below minimum",OR('Order list'!$B$4="",$D195='Order list'!$B$4)),IFERROR(MATCH($D195,Suppliers,0),99)*10000+ROW(),""))</f>
        <v/>
      </c>
    </row>
    <row r="196">
      <c r="A196" s="8">
        <f>IF('Items'!$A196="","",'Items'!$A196)</f>
        <v/>
      </c>
      <c r="B196" s="8">
        <f>IF($A196="","",'Items'!$B196)</f>
        <v/>
      </c>
      <c r="C196" s="8">
        <f>IF($A196="","",'Items'!$K196)</f>
        <v/>
      </c>
      <c r="D196" s="8">
        <f>IF($A196="","",'Items'!$E196)</f>
        <v/>
      </c>
      <c r="E196" s="8">
        <f>IF($A196="","",'Items'!$D196)</f>
        <v/>
      </c>
      <c r="F196" s="16">
        <f>IF($A196="","",SUMIFS('Batches'!$E$3:$E$302,'Batches'!$A$3:$A$302,$A196,'Batches'!$G$3:$G$302,$C196)+SUMIFS('Movements'!$F$3:$F$1002,'Movements'!$B$3:$B$1002,$A196,'Movements'!$E$3:$E$1002,"In",'Movements'!$H$3:$H$1002,$C196)-SUMIFS('Movements'!$F$3:$F$1002,'Movements'!$B$3:$B$1002,$A196,'Movements'!$E$3:$E$1002,"Out",'Movements'!$G$3:$G$1002,$C196)-SUMIFS('Movements'!$F$3:$F$1002,'Movements'!$B$3:$B$1002,$A196,'Movements'!$E$3:$E$1002,"Waste",'Movements'!$G$3:$G$1002,$C196)+SUMIFS('Movements'!$F$3:$F$1002,'Movements'!$B$3:$B$1002,$A196,'Movements'!$E$3:$E$1002,"Transfer",'Movements'!$H$3:$H$1002,$C196)-SUMIFS('Movements'!$F$3:$F$1002,'Movements'!$B$3:$B$1002,$A196,'Movements'!$E$3:$E$1002,"Transfer",'Movements'!$G$3:$G$1002,$C196))</f>
        <v/>
      </c>
      <c r="G196" s="15">
        <f>IF($A196="","",'Items'!$I196)</f>
        <v/>
      </c>
      <c r="H196" s="8">
        <f>IF(OR($A196="",$G196=""),"",IF($F196&lt;$G196,"Below minimum","OK"))</f>
        <v/>
      </c>
      <c r="I196" s="18">
        <f>IF($A196="","",IF(SUMPRODUCT(SMALL(('Batches'!$A$3:$A$302=$A196)*('Batches'!$G$3:$G$302=$C196)*('Batches'!$D$3:$D$302&gt;0)*('Batches'!$H$3:$H$302&gt;0)*'Batches'!$D$3:$D$302+(1-('Batches'!$A$3:$A$302=$A196)*('Batches'!$G$3:$G$302=$C196)*('Batches'!$D$3:$D$302&gt;0)*('Batches'!$H$3:$H$302&gt;0))*100000,1))&gt;=100000,"",SUMPRODUCT(SMALL(('Batches'!$A$3:$A$302=$A196)*('Batches'!$G$3:$G$302=$C196)*('Batches'!$D$3:$D$302&gt;0)*('Batches'!$H$3:$H$302&gt;0)*'Batches'!$D$3:$D$302+(1-('Batches'!$A$3:$A$302=$A196)*('Batches'!$G$3:$G$302=$C196)*('Batches'!$D$3:$D$302&gt;0)*('Batches'!$H$3:$H$302&gt;0))*100000,1))))</f>
        <v/>
      </c>
      <c r="J196" s="16">
        <f>IF($A196="","",SUMIFS('Batches'!$H$3:$H$302,'Batches'!$A$3:$A$302,$A196,'Batches'!$G$3:$G$302,$C196,'Batches'!$D$3:$D$302,"&gt;0",'Batches'!$D$3:$D$302,"&lt;="&amp;('Settings'!$B$6+'Settings'!$B$7)))</f>
        <v/>
      </c>
      <c r="K196" s="19">
        <f>IF($A196="","",'Items'!$F196)</f>
        <v/>
      </c>
      <c r="L196" s="19">
        <f>IF($A196="","",$F196*$K196)</f>
        <v/>
      </c>
      <c r="M196" s="16">
        <f>IF($A196="","",IF(AND($H196="Below minimum",OR('Order list'!$B$4="",$D196='Order list'!$B$4)),IFERROR(MATCH($D196,Suppliers,0),99)*10000+ROW(),""))</f>
        <v/>
      </c>
    </row>
    <row r="197">
      <c r="A197" s="8">
        <f>IF('Items'!$A197="","",'Items'!$A197)</f>
        <v/>
      </c>
      <c r="B197" s="8">
        <f>IF($A197="","",'Items'!$B197)</f>
        <v/>
      </c>
      <c r="C197" s="8">
        <f>IF($A197="","",'Items'!$K197)</f>
        <v/>
      </c>
      <c r="D197" s="8">
        <f>IF($A197="","",'Items'!$E197)</f>
        <v/>
      </c>
      <c r="E197" s="8">
        <f>IF($A197="","",'Items'!$D197)</f>
        <v/>
      </c>
      <c r="F197" s="16">
        <f>IF($A197="","",SUMIFS('Batches'!$E$3:$E$302,'Batches'!$A$3:$A$302,$A197,'Batches'!$G$3:$G$302,$C197)+SUMIFS('Movements'!$F$3:$F$1002,'Movements'!$B$3:$B$1002,$A197,'Movements'!$E$3:$E$1002,"In",'Movements'!$H$3:$H$1002,$C197)-SUMIFS('Movements'!$F$3:$F$1002,'Movements'!$B$3:$B$1002,$A197,'Movements'!$E$3:$E$1002,"Out",'Movements'!$G$3:$G$1002,$C197)-SUMIFS('Movements'!$F$3:$F$1002,'Movements'!$B$3:$B$1002,$A197,'Movements'!$E$3:$E$1002,"Waste",'Movements'!$G$3:$G$1002,$C197)+SUMIFS('Movements'!$F$3:$F$1002,'Movements'!$B$3:$B$1002,$A197,'Movements'!$E$3:$E$1002,"Transfer",'Movements'!$H$3:$H$1002,$C197)-SUMIFS('Movements'!$F$3:$F$1002,'Movements'!$B$3:$B$1002,$A197,'Movements'!$E$3:$E$1002,"Transfer",'Movements'!$G$3:$G$1002,$C197))</f>
        <v/>
      </c>
      <c r="G197" s="15">
        <f>IF($A197="","",'Items'!$I197)</f>
        <v/>
      </c>
      <c r="H197" s="8">
        <f>IF(OR($A197="",$G197=""),"",IF($F197&lt;$G197,"Below minimum","OK"))</f>
        <v/>
      </c>
      <c r="I197" s="18">
        <f>IF($A197="","",IF(SUMPRODUCT(SMALL(('Batches'!$A$3:$A$302=$A197)*('Batches'!$G$3:$G$302=$C197)*('Batches'!$D$3:$D$302&gt;0)*('Batches'!$H$3:$H$302&gt;0)*'Batches'!$D$3:$D$302+(1-('Batches'!$A$3:$A$302=$A197)*('Batches'!$G$3:$G$302=$C197)*('Batches'!$D$3:$D$302&gt;0)*('Batches'!$H$3:$H$302&gt;0))*100000,1))&gt;=100000,"",SUMPRODUCT(SMALL(('Batches'!$A$3:$A$302=$A197)*('Batches'!$G$3:$G$302=$C197)*('Batches'!$D$3:$D$302&gt;0)*('Batches'!$H$3:$H$302&gt;0)*'Batches'!$D$3:$D$302+(1-('Batches'!$A$3:$A$302=$A197)*('Batches'!$G$3:$G$302=$C197)*('Batches'!$D$3:$D$302&gt;0)*('Batches'!$H$3:$H$302&gt;0))*100000,1))))</f>
        <v/>
      </c>
      <c r="J197" s="16">
        <f>IF($A197="","",SUMIFS('Batches'!$H$3:$H$302,'Batches'!$A$3:$A$302,$A197,'Batches'!$G$3:$G$302,$C197,'Batches'!$D$3:$D$302,"&gt;0",'Batches'!$D$3:$D$302,"&lt;="&amp;('Settings'!$B$6+'Settings'!$B$7)))</f>
        <v/>
      </c>
      <c r="K197" s="19">
        <f>IF($A197="","",'Items'!$F197)</f>
        <v/>
      </c>
      <c r="L197" s="19">
        <f>IF($A197="","",$F197*$K197)</f>
        <v/>
      </c>
      <c r="M197" s="16">
        <f>IF($A197="","",IF(AND($H197="Below minimum",OR('Order list'!$B$4="",$D197='Order list'!$B$4)),IFERROR(MATCH($D197,Suppliers,0),99)*10000+ROW(),""))</f>
        <v/>
      </c>
    </row>
    <row r="198">
      <c r="A198" s="8">
        <f>IF('Items'!$A198="","",'Items'!$A198)</f>
        <v/>
      </c>
      <c r="B198" s="8">
        <f>IF($A198="","",'Items'!$B198)</f>
        <v/>
      </c>
      <c r="C198" s="8">
        <f>IF($A198="","",'Items'!$K198)</f>
        <v/>
      </c>
      <c r="D198" s="8">
        <f>IF($A198="","",'Items'!$E198)</f>
        <v/>
      </c>
      <c r="E198" s="8">
        <f>IF($A198="","",'Items'!$D198)</f>
        <v/>
      </c>
      <c r="F198" s="16">
        <f>IF($A198="","",SUMIFS('Batches'!$E$3:$E$302,'Batches'!$A$3:$A$302,$A198,'Batches'!$G$3:$G$302,$C198)+SUMIFS('Movements'!$F$3:$F$1002,'Movements'!$B$3:$B$1002,$A198,'Movements'!$E$3:$E$1002,"In",'Movements'!$H$3:$H$1002,$C198)-SUMIFS('Movements'!$F$3:$F$1002,'Movements'!$B$3:$B$1002,$A198,'Movements'!$E$3:$E$1002,"Out",'Movements'!$G$3:$G$1002,$C198)-SUMIFS('Movements'!$F$3:$F$1002,'Movements'!$B$3:$B$1002,$A198,'Movements'!$E$3:$E$1002,"Waste",'Movements'!$G$3:$G$1002,$C198)+SUMIFS('Movements'!$F$3:$F$1002,'Movements'!$B$3:$B$1002,$A198,'Movements'!$E$3:$E$1002,"Transfer",'Movements'!$H$3:$H$1002,$C198)-SUMIFS('Movements'!$F$3:$F$1002,'Movements'!$B$3:$B$1002,$A198,'Movements'!$E$3:$E$1002,"Transfer",'Movements'!$G$3:$G$1002,$C198))</f>
        <v/>
      </c>
      <c r="G198" s="15">
        <f>IF($A198="","",'Items'!$I198)</f>
        <v/>
      </c>
      <c r="H198" s="8">
        <f>IF(OR($A198="",$G198=""),"",IF($F198&lt;$G198,"Below minimum","OK"))</f>
        <v/>
      </c>
      <c r="I198" s="18">
        <f>IF($A198="","",IF(SUMPRODUCT(SMALL(('Batches'!$A$3:$A$302=$A198)*('Batches'!$G$3:$G$302=$C198)*('Batches'!$D$3:$D$302&gt;0)*('Batches'!$H$3:$H$302&gt;0)*'Batches'!$D$3:$D$302+(1-('Batches'!$A$3:$A$302=$A198)*('Batches'!$G$3:$G$302=$C198)*('Batches'!$D$3:$D$302&gt;0)*('Batches'!$H$3:$H$302&gt;0))*100000,1))&gt;=100000,"",SUMPRODUCT(SMALL(('Batches'!$A$3:$A$302=$A198)*('Batches'!$G$3:$G$302=$C198)*('Batches'!$D$3:$D$302&gt;0)*('Batches'!$H$3:$H$302&gt;0)*'Batches'!$D$3:$D$302+(1-('Batches'!$A$3:$A$302=$A198)*('Batches'!$G$3:$G$302=$C198)*('Batches'!$D$3:$D$302&gt;0)*('Batches'!$H$3:$H$302&gt;0))*100000,1))))</f>
        <v/>
      </c>
      <c r="J198" s="16">
        <f>IF($A198="","",SUMIFS('Batches'!$H$3:$H$302,'Batches'!$A$3:$A$302,$A198,'Batches'!$G$3:$G$302,$C198,'Batches'!$D$3:$D$302,"&gt;0",'Batches'!$D$3:$D$302,"&lt;="&amp;('Settings'!$B$6+'Settings'!$B$7)))</f>
        <v/>
      </c>
      <c r="K198" s="19">
        <f>IF($A198="","",'Items'!$F198)</f>
        <v/>
      </c>
      <c r="L198" s="19">
        <f>IF($A198="","",$F198*$K198)</f>
        <v/>
      </c>
      <c r="M198" s="16">
        <f>IF($A198="","",IF(AND($H198="Below minimum",OR('Order list'!$B$4="",$D198='Order list'!$B$4)),IFERROR(MATCH($D198,Suppliers,0),99)*10000+ROW(),""))</f>
        <v/>
      </c>
    </row>
    <row r="199">
      <c r="A199" s="8">
        <f>IF('Items'!$A199="","",'Items'!$A199)</f>
        <v/>
      </c>
      <c r="B199" s="8">
        <f>IF($A199="","",'Items'!$B199)</f>
        <v/>
      </c>
      <c r="C199" s="8">
        <f>IF($A199="","",'Items'!$K199)</f>
        <v/>
      </c>
      <c r="D199" s="8">
        <f>IF($A199="","",'Items'!$E199)</f>
        <v/>
      </c>
      <c r="E199" s="8">
        <f>IF($A199="","",'Items'!$D199)</f>
        <v/>
      </c>
      <c r="F199" s="16">
        <f>IF($A199="","",SUMIFS('Batches'!$E$3:$E$302,'Batches'!$A$3:$A$302,$A199,'Batches'!$G$3:$G$302,$C199)+SUMIFS('Movements'!$F$3:$F$1002,'Movements'!$B$3:$B$1002,$A199,'Movements'!$E$3:$E$1002,"In",'Movements'!$H$3:$H$1002,$C199)-SUMIFS('Movements'!$F$3:$F$1002,'Movements'!$B$3:$B$1002,$A199,'Movements'!$E$3:$E$1002,"Out",'Movements'!$G$3:$G$1002,$C199)-SUMIFS('Movements'!$F$3:$F$1002,'Movements'!$B$3:$B$1002,$A199,'Movements'!$E$3:$E$1002,"Waste",'Movements'!$G$3:$G$1002,$C199)+SUMIFS('Movements'!$F$3:$F$1002,'Movements'!$B$3:$B$1002,$A199,'Movements'!$E$3:$E$1002,"Transfer",'Movements'!$H$3:$H$1002,$C199)-SUMIFS('Movements'!$F$3:$F$1002,'Movements'!$B$3:$B$1002,$A199,'Movements'!$E$3:$E$1002,"Transfer",'Movements'!$G$3:$G$1002,$C199))</f>
        <v/>
      </c>
      <c r="G199" s="15">
        <f>IF($A199="","",'Items'!$I199)</f>
        <v/>
      </c>
      <c r="H199" s="8">
        <f>IF(OR($A199="",$G199=""),"",IF($F199&lt;$G199,"Below minimum","OK"))</f>
        <v/>
      </c>
      <c r="I199" s="18">
        <f>IF($A199="","",IF(SUMPRODUCT(SMALL(('Batches'!$A$3:$A$302=$A199)*('Batches'!$G$3:$G$302=$C199)*('Batches'!$D$3:$D$302&gt;0)*('Batches'!$H$3:$H$302&gt;0)*'Batches'!$D$3:$D$302+(1-('Batches'!$A$3:$A$302=$A199)*('Batches'!$G$3:$G$302=$C199)*('Batches'!$D$3:$D$302&gt;0)*('Batches'!$H$3:$H$302&gt;0))*100000,1))&gt;=100000,"",SUMPRODUCT(SMALL(('Batches'!$A$3:$A$302=$A199)*('Batches'!$G$3:$G$302=$C199)*('Batches'!$D$3:$D$302&gt;0)*('Batches'!$H$3:$H$302&gt;0)*'Batches'!$D$3:$D$302+(1-('Batches'!$A$3:$A$302=$A199)*('Batches'!$G$3:$G$302=$C199)*('Batches'!$D$3:$D$302&gt;0)*('Batches'!$H$3:$H$302&gt;0))*100000,1))))</f>
        <v/>
      </c>
      <c r="J199" s="16">
        <f>IF($A199="","",SUMIFS('Batches'!$H$3:$H$302,'Batches'!$A$3:$A$302,$A199,'Batches'!$G$3:$G$302,$C199,'Batches'!$D$3:$D$302,"&gt;0",'Batches'!$D$3:$D$302,"&lt;="&amp;('Settings'!$B$6+'Settings'!$B$7)))</f>
        <v/>
      </c>
      <c r="K199" s="19">
        <f>IF($A199="","",'Items'!$F199)</f>
        <v/>
      </c>
      <c r="L199" s="19">
        <f>IF($A199="","",$F199*$K199)</f>
        <v/>
      </c>
      <c r="M199" s="16">
        <f>IF($A199="","",IF(AND($H199="Below minimum",OR('Order list'!$B$4="",$D199='Order list'!$B$4)),IFERROR(MATCH($D199,Suppliers,0),99)*10000+ROW(),""))</f>
        <v/>
      </c>
    </row>
    <row r="200">
      <c r="A200" s="8">
        <f>IF('Items'!$A200="","",'Items'!$A200)</f>
        <v/>
      </c>
      <c r="B200" s="8">
        <f>IF($A200="","",'Items'!$B200)</f>
        <v/>
      </c>
      <c r="C200" s="8">
        <f>IF($A200="","",'Items'!$K200)</f>
        <v/>
      </c>
      <c r="D200" s="8">
        <f>IF($A200="","",'Items'!$E200)</f>
        <v/>
      </c>
      <c r="E200" s="8">
        <f>IF($A200="","",'Items'!$D200)</f>
        <v/>
      </c>
      <c r="F200" s="16">
        <f>IF($A200="","",SUMIFS('Batches'!$E$3:$E$302,'Batches'!$A$3:$A$302,$A200,'Batches'!$G$3:$G$302,$C200)+SUMIFS('Movements'!$F$3:$F$1002,'Movements'!$B$3:$B$1002,$A200,'Movements'!$E$3:$E$1002,"In",'Movements'!$H$3:$H$1002,$C200)-SUMIFS('Movements'!$F$3:$F$1002,'Movements'!$B$3:$B$1002,$A200,'Movements'!$E$3:$E$1002,"Out",'Movements'!$G$3:$G$1002,$C200)-SUMIFS('Movements'!$F$3:$F$1002,'Movements'!$B$3:$B$1002,$A200,'Movements'!$E$3:$E$1002,"Waste",'Movements'!$G$3:$G$1002,$C200)+SUMIFS('Movements'!$F$3:$F$1002,'Movements'!$B$3:$B$1002,$A200,'Movements'!$E$3:$E$1002,"Transfer",'Movements'!$H$3:$H$1002,$C200)-SUMIFS('Movements'!$F$3:$F$1002,'Movements'!$B$3:$B$1002,$A200,'Movements'!$E$3:$E$1002,"Transfer",'Movements'!$G$3:$G$1002,$C200))</f>
        <v/>
      </c>
      <c r="G200" s="15">
        <f>IF($A200="","",'Items'!$I200)</f>
        <v/>
      </c>
      <c r="H200" s="8">
        <f>IF(OR($A200="",$G200=""),"",IF($F200&lt;$G200,"Below minimum","OK"))</f>
        <v/>
      </c>
      <c r="I200" s="18">
        <f>IF($A200="","",IF(SUMPRODUCT(SMALL(('Batches'!$A$3:$A$302=$A200)*('Batches'!$G$3:$G$302=$C200)*('Batches'!$D$3:$D$302&gt;0)*('Batches'!$H$3:$H$302&gt;0)*'Batches'!$D$3:$D$302+(1-('Batches'!$A$3:$A$302=$A200)*('Batches'!$G$3:$G$302=$C200)*('Batches'!$D$3:$D$302&gt;0)*('Batches'!$H$3:$H$302&gt;0))*100000,1))&gt;=100000,"",SUMPRODUCT(SMALL(('Batches'!$A$3:$A$302=$A200)*('Batches'!$G$3:$G$302=$C200)*('Batches'!$D$3:$D$302&gt;0)*('Batches'!$H$3:$H$302&gt;0)*'Batches'!$D$3:$D$302+(1-('Batches'!$A$3:$A$302=$A200)*('Batches'!$G$3:$G$302=$C200)*('Batches'!$D$3:$D$302&gt;0)*('Batches'!$H$3:$H$302&gt;0))*100000,1))))</f>
        <v/>
      </c>
      <c r="J200" s="16">
        <f>IF($A200="","",SUMIFS('Batches'!$H$3:$H$302,'Batches'!$A$3:$A$302,$A200,'Batches'!$G$3:$G$302,$C200,'Batches'!$D$3:$D$302,"&gt;0",'Batches'!$D$3:$D$302,"&lt;="&amp;('Settings'!$B$6+'Settings'!$B$7)))</f>
        <v/>
      </c>
      <c r="K200" s="19">
        <f>IF($A200="","",'Items'!$F200)</f>
        <v/>
      </c>
      <c r="L200" s="19">
        <f>IF($A200="","",$F200*$K200)</f>
        <v/>
      </c>
      <c r="M200" s="16">
        <f>IF($A200="","",IF(AND($H200="Below minimum",OR('Order list'!$B$4="",$D200='Order list'!$B$4)),IFERROR(MATCH($D200,Suppliers,0),99)*10000+ROW(),""))</f>
        <v/>
      </c>
    </row>
    <row r="201">
      <c r="A201" s="8">
        <f>IF('Items'!$A201="","",'Items'!$A201)</f>
        <v/>
      </c>
      <c r="B201" s="8">
        <f>IF($A201="","",'Items'!$B201)</f>
        <v/>
      </c>
      <c r="C201" s="8">
        <f>IF($A201="","",'Items'!$K201)</f>
        <v/>
      </c>
      <c r="D201" s="8">
        <f>IF($A201="","",'Items'!$E201)</f>
        <v/>
      </c>
      <c r="E201" s="8">
        <f>IF($A201="","",'Items'!$D201)</f>
        <v/>
      </c>
      <c r="F201" s="16">
        <f>IF($A201="","",SUMIFS('Batches'!$E$3:$E$302,'Batches'!$A$3:$A$302,$A201,'Batches'!$G$3:$G$302,$C201)+SUMIFS('Movements'!$F$3:$F$1002,'Movements'!$B$3:$B$1002,$A201,'Movements'!$E$3:$E$1002,"In",'Movements'!$H$3:$H$1002,$C201)-SUMIFS('Movements'!$F$3:$F$1002,'Movements'!$B$3:$B$1002,$A201,'Movements'!$E$3:$E$1002,"Out",'Movements'!$G$3:$G$1002,$C201)-SUMIFS('Movements'!$F$3:$F$1002,'Movements'!$B$3:$B$1002,$A201,'Movements'!$E$3:$E$1002,"Waste",'Movements'!$G$3:$G$1002,$C201)+SUMIFS('Movements'!$F$3:$F$1002,'Movements'!$B$3:$B$1002,$A201,'Movements'!$E$3:$E$1002,"Transfer",'Movements'!$H$3:$H$1002,$C201)-SUMIFS('Movements'!$F$3:$F$1002,'Movements'!$B$3:$B$1002,$A201,'Movements'!$E$3:$E$1002,"Transfer",'Movements'!$G$3:$G$1002,$C201))</f>
        <v/>
      </c>
      <c r="G201" s="15">
        <f>IF($A201="","",'Items'!$I201)</f>
        <v/>
      </c>
      <c r="H201" s="8">
        <f>IF(OR($A201="",$G201=""),"",IF($F201&lt;$G201,"Below minimum","OK"))</f>
        <v/>
      </c>
      <c r="I201" s="18">
        <f>IF($A201="","",IF(SUMPRODUCT(SMALL(('Batches'!$A$3:$A$302=$A201)*('Batches'!$G$3:$G$302=$C201)*('Batches'!$D$3:$D$302&gt;0)*('Batches'!$H$3:$H$302&gt;0)*'Batches'!$D$3:$D$302+(1-('Batches'!$A$3:$A$302=$A201)*('Batches'!$G$3:$G$302=$C201)*('Batches'!$D$3:$D$302&gt;0)*('Batches'!$H$3:$H$302&gt;0))*100000,1))&gt;=100000,"",SUMPRODUCT(SMALL(('Batches'!$A$3:$A$302=$A201)*('Batches'!$G$3:$G$302=$C201)*('Batches'!$D$3:$D$302&gt;0)*('Batches'!$H$3:$H$302&gt;0)*'Batches'!$D$3:$D$302+(1-('Batches'!$A$3:$A$302=$A201)*('Batches'!$G$3:$G$302=$C201)*('Batches'!$D$3:$D$302&gt;0)*('Batches'!$H$3:$H$302&gt;0))*100000,1))))</f>
        <v/>
      </c>
      <c r="J201" s="16">
        <f>IF($A201="","",SUMIFS('Batches'!$H$3:$H$302,'Batches'!$A$3:$A$302,$A201,'Batches'!$G$3:$G$302,$C201,'Batches'!$D$3:$D$302,"&gt;0",'Batches'!$D$3:$D$302,"&lt;="&amp;('Settings'!$B$6+'Settings'!$B$7)))</f>
        <v/>
      </c>
      <c r="K201" s="19">
        <f>IF($A201="","",'Items'!$F201)</f>
        <v/>
      </c>
      <c r="L201" s="19">
        <f>IF($A201="","",$F201*$K201)</f>
        <v/>
      </c>
      <c r="M201" s="16">
        <f>IF($A201="","",IF(AND($H201="Below minimum",OR('Order list'!$B$4="",$D201='Order list'!$B$4)),IFERROR(MATCH($D201,Suppliers,0),99)*10000+ROW(),""))</f>
        <v/>
      </c>
    </row>
    <row r="202">
      <c r="A202" s="8">
        <f>IF('Items'!$A202="","",'Items'!$A202)</f>
        <v/>
      </c>
      <c r="B202" s="8">
        <f>IF($A202="","",'Items'!$B202)</f>
        <v/>
      </c>
      <c r="C202" s="8">
        <f>IF($A202="","",'Items'!$K202)</f>
        <v/>
      </c>
      <c r="D202" s="8">
        <f>IF($A202="","",'Items'!$E202)</f>
        <v/>
      </c>
      <c r="E202" s="8">
        <f>IF($A202="","",'Items'!$D202)</f>
        <v/>
      </c>
      <c r="F202" s="16">
        <f>IF($A202="","",SUMIFS('Batches'!$E$3:$E$302,'Batches'!$A$3:$A$302,$A202,'Batches'!$G$3:$G$302,$C202)+SUMIFS('Movements'!$F$3:$F$1002,'Movements'!$B$3:$B$1002,$A202,'Movements'!$E$3:$E$1002,"In",'Movements'!$H$3:$H$1002,$C202)-SUMIFS('Movements'!$F$3:$F$1002,'Movements'!$B$3:$B$1002,$A202,'Movements'!$E$3:$E$1002,"Out",'Movements'!$G$3:$G$1002,$C202)-SUMIFS('Movements'!$F$3:$F$1002,'Movements'!$B$3:$B$1002,$A202,'Movements'!$E$3:$E$1002,"Waste",'Movements'!$G$3:$G$1002,$C202)+SUMIFS('Movements'!$F$3:$F$1002,'Movements'!$B$3:$B$1002,$A202,'Movements'!$E$3:$E$1002,"Transfer",'Movements'!$H$3:$H$1002,$C202)-SUMIFS('Movements'!$F$3:$F$1002,'Movements'!$B$3:$B$1002,$A202,'Movements'!$E$3:$E$1002,"Transfer",'Movements'!$G$3:$G$1002,$C202))</f>
        <v/>
      </c>
      <c r="G202" s="15">
        <f>IF($A202="","",'Items'!$I202)</f>
        <v/>
      </c>
      <c r="H202" s="8">
        <f>IF(OR($A202="",$G202=""),"",IF($F202&lt;$G202,"Below minimum","OK"))</f>
        <v/>
      </c>
      <c r="I202" s="18">
        <f>IF($A202="","",IF(SUMPRODUCT(SMALL(('Batches'!$A$3:$A$302=$A202)*('Batches'!$G$3:$G$302=$C202)*('Batches'!$D$3:$D$302&gt;0)*('Batches'!$H$3:$H$302&gt;0)*'Batches'!$D$3:$D$302+(1-('Batches'!$A$3:$A$302=$A202)*('Batches'!$G$3:$G$302=$C202)*('Batches'!$D$3:$D$302&gt;0)*('Batches'!$H$3:$H$302&gt;0))*100000,1))&gt;=100000,"",SUMPRODUCT(SMALL(('Batches'!$A$3:$A$302=$A202)*('Batches'!$G$3:$G$302=$C202)*('Batches'!$D$3:$D$302&gt;0)*('Batches'!$H$3:$H$302&gt;0)*'Batches'!$D$3:$D$302+(1-('Batches'!$A$3:$A$302=$A202)*('Batches'!$G$3:$G$302=$C202)*('Batches'!$D$3:$D$302&gt;0)*('Batches'!$H$3:$H$302&gt;0))*100000,1))))</f>
        <v/>
      </c>
      <c r="J202" s="16">
        <f>IF($A202="","",SUMIFS('Batches'!$H$3:$H$302,'Batches'!$A$3:$A$302,$A202,'Batches'!$G$3:$G$302,$C202,'Batches'!$D$3:$D$302,"&gt;0",'Batches'!$D$3:$D$302,"&lt;="&amp;('Settings'!$B$6+'Settings'!$B$7)))</f>
        <v/>
      </c>
      <c r="K202" s="19">
        <f>IF($A202="","",'Items'!$F202)</f>
        <v/>
      </c>
      <c r="L202" s="19">
        <f>IF($A202="","",$F202*$K202)</f>
        <v/>
      </c>
      <c r="M202" s="16">
        <f>IF($A202="","",IF(AND($H202="Below minimum",OR('Order list'!$B$4="",$D202='Order list'!$B$4)),IFERROR(MATCH($D202,Suppliers,0),99)*10000+ROW(),""))</f>
        <v/>
      </c>
    </row>
    <row r="204">
      <c r="B204" s="3" t="inlineStr">
        <is>
          <t>Stock value</t>
        </is>
      </c>
      <c r="L204" s="20">
        <f>SUM(L3:L202)</f>
        <v/>
      </c>
    </row>
    <row r="205">
      <c r="B205" s="3" t="inlineStr">
        <is>
          <t>Rows below minimum</t>
        </is>
      </c>
      <c r="L205" s="21">
        <f>COUNTIFS(H3:H202,"Below minimum")</f>
        <v/>
      </c>
    </row>
    <row r="207">
      <c r="A207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M202"/>
  <mergeCells count="1">
    <mergeCell ref="A207:H207"/>
  </mergeCells>
  <conditionalFormatting sqref="H3:H202">
    <cfRule type="expression" priority="1" dxfId="0">
      <formula>$H3="Below minimum"</formula>
    </cfRule>
  </conditionalFormatting>
  <conditionalFormatting sqref="I3:I202">
    <cfRule type="expression" priority="2" dxfId="0">
      <formula>AND(ISNUMBER($I3),$I3-'Settings'!$B$6&lt;'Settings'!$B$8)</formula>
    </cfRule>
    <cfRule type="expression" priority="3" dxfId="1">
      <formula>AND(ISNUMBER($I3),$I3-'Settings'!$B$6&lt;'Settings'!$B$9)</formula>
    </cfRule>
  </conditionalFormatting>
  <conditionalFormatting sqref="J3:J202">
    <cfRule type="expression" priority="4" dxfId="1">
      <formula>AND(ISNUMBER($J3),$J3&gt;0)</formula>
    </cfRule>
  </conditionalFormatting>
  <hyperlinks>
    <hyperlink xmlns:r="http://schemas.openxmlformats.org/officeDocument/2006/relationships" ref="A207" r:id="rId1"/>
  </hyperlinks>
  <pageMargins left="0.75" right="0.75" top="1" bottom="1" header="0.5" footer="0.5"/>
  <pageSetup paperSize="9" fitToHeight="0" fitToWidth="1"/>
</worksheet>
</file>

<file path=xl/worksheets/sheet7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K75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30" customWidth="1" min="3" max="3"/>
    <col width="9" customWidth="1" min="4" max="4"/>
    <col width="10" customWidth="1" min="5" max="5"/>
    <col width="10" customWidth="1" min="6" max="6"/>
    <col width="11" customWidth="1" min="7" max="7"/>
    <col width="10" customWidth="1" min="8" max="8"/>
    <col width="12" customWidth="1" min="9" max="9"/>
    <col width="3" customWidth="1" min="10" max="10"/>
    <col width="10" customWidth="1" min="11" max="11"/>
  </cols>
  <sheetData>
    <row r="1">
      <c r="A1" s="22">
        <f>'Settings'!B4</f>
        <v/>
      </c>
    </row>
    <row r="2">
      <c r="A2" s="23" t="inlineStr">
        <is>
          <t>Purchase order</t>
        </is>
      </c>
    </row>
    <row r="4">
      <c r="A4" s="3" t="inlineStr">
        <is>
          <t>Supplier (blank = all)</t>
        </is>
      </c>
      <c r="B4" s="4" t="n"/>
      <c r="C4" s="24" t="n"/>
      <c r="D4" s="25" t="n"/>
    </row>
    <row r="5">
      <c r="A5" s="3" t="inlineStr">
        <is>
          <t>Date</t>
        </is>
      </c>
      <c r="B5" s="18">
        <f>'Settings'!B6</f>
        <v/>
      </c>
    </row>
    <row r="6">
      <c r="A6" s="3" t="inlineStr">
        <is>
          <t>Order no.</t>
        </is>
      </c>
      <c r="B6" s="4" t="inlineStr">
        <is>
          <t>PO-2026-031</t>
        </is>
      </c>
    </row>
    <row r="7">
      <c r="A7" s="3" t="inlineStr">
        <is>
          <t>Currency</t>
        </is>
      </c>
      <c r="B7" s="8">
        <f>'Settings'!B5</f>
        <v/>
      </c>
    </row>
    <row r="9" ht="30" customHeight="1">
      <c r="A9" s="7" t="inlineStr">
        <is>
          <t>Supplier</t>
        </is>
      </c>
      <c r="B9" s="7" t="inlineStr">
        <is>
          <t>Code</t>
        </is>
      </c>
      <c r="C9" s="7" t="inlineStr">
        <is>
          <t>Item</t>
        </is>
      </c>
      <c r="D9" s="7" t="inlineStr">
        <is>
          <t>Unit</t>
        </is>
      </c>
      <c r="E9" s="7" t="inlineStr">
        <is>
          <t>On hand</t>
        </is>
      </c>
      <c r="F9" s="7" t="inlineStr">
        <is>
          <t>Minimum</t>
        </is>
      </c>
      <c r="G9" s="7" t="inlineStr">
        <is>
          <t>Order qty</t>
        </is>
      </c>
      <c r="H9" s="7" t="inlineStr">
        <is>
          <t>Last price</t>
        </is>
      </c>
      <c r="I9" s="7" t="inlineStr">
        <is>
          <t>Line total</t>
        </is>
      </c>
      <c r="K9" s="7" t="inlineStr">
        <is>
          <t>Source row</t>
        </is>
      </c>
    </row>
    <row r="10">
      <c r="A10" s="8">
        <f>IF($K10="","",INDEX('Balance'!$D$1:$D$202,$K10))</f>
        <v/>
      </c>
      <c r="B10" s="8">
        <f>IF($K10="","",INDEX('Balance'!$A$1:$A$202,$K10))</f>
        <v/>
      </c>
      <c r="C10" s="8">
        <f>IF($K10="","",INDEX('Balance'!$B$1:$B$202,$K10))</f>
        <v/>
      </c>
      <c r="D10" s="8">
        <f>IF($K10="","",INDEX('Balance'!$E$1:$E$202,$K10))</f>
        <v/>
      </c>
      <c r="E10" s="16">
        <f>IF($K10="","",INDEX('Balance'!$F$1:$F$202,$K10))</f>
        <v/>
      </c>
      <c r="F10" s="19">
        <f>IF($K10="","",INDEX('Balance'!$G$1:$G$202,$K10))</f>
        <v/>
      </c>
      <c r="G10" s="16">
        <f>IF($K10="","",INDEX('Items'!$J$1:$J$202,$K10))</f>
        <v/>
      </c>
      <c r="H10" s="19">
        <f>IF($K10="","",INDEX('Balance'!$K$1:$K$202,$K10))</f>
        <v/>
      </c>
      <c r="I10" s="19">
        <f>IF($K10="","",G10*H10)</f>
        <v/>
      </c>
      <c r="K10" s="16">
        <f>IFERROR(MOD(SMALL('Balance'!$M$3:$M$202,1),10000),"")</f>
        <v/>
      </c>
    </row>
    <row r="11">
      <c r="A11" s="8">
        <f>IF($K11="","",INDEX('Balance'!$D$1:$D$202,$K11))</f>
        <v/>
      </c>
      <c r="B11" s="8">
        <f>IF($K11="","",INDEX('Balance'!$A$1:$A$202,$K11))</f>
        <v/>
      </c>
      <c r="C11" s="8">
        <f>IF($K11="","",INDEX('Balance'!$B$1:$B$202,$K11))</f>
        <v/>
      </c>
      <c r="D11" s="8">
        <f>IF($K11="","",INDEX('Balance'!$E$1:$E$202,$K11))</f>
        <v/>
      </c>
      <c r="E11" s="16">
        <f>IF($K11="","",INDEX('Balance'!$F$1:$F$202,$K11))</f>
        <v/>
      </c>
      <c r="F11" s="19">
        <f>IF($K11="","",INDEX('Balance'!$G$1:$G$202,$K11))</f>
        <v/>
      </c>
      <c r="G11" s="16">
        <f>IF($K11="","",INDEX('Items'!$J$1:$J$202,$K11))</f>
        <v/>
      </c>
      <c r="H11" s="19">
        <f>IF($K11="","",INDEX('Balance'!$K$1:$K$202,$K11))</f>
        <v/>
      </c>
      <c r="I11" s="19">
        <f>IF($K11="","",G11*H11)</f>
        <v/>
      </c>
      <c r="K11" s="16">
        <f>IFERROR(MOD(SMALL('Balance'!$M$3:$M$202,2),10000),"")</f>
        <v/>
      </c>
    </row>
    <row r="12">
      <c r="A12" s="8">
        <f>IF($K12="","",INDEX('Balance'!$D$1:$D$202,$K12))</f>
        <v/>
      </c>
      <c r="B12" s="8">
        <f>IF($K12="","",INDEX('Balance'!$A$1:$A$202,$K12))</f>
        <v/>
      </c>
      <c r="C12" s="8">
        <f>IF($K12="","",INDEX('Balance'!$B$1:$B$202,$K12))</f>
        <v/>
      </c>
      <c r="D12" s="8">
        <f>IF($K12="","",INDEX('Balance'!$E$1:$E$202,$K12))</f>
        <v/>
      </c>
      <c r="E12" s="16">
        <f>IF($K12="","",INDEX('Balance'!$F$1:$F$202,$K12))</f>
        <v/>
      </c>
      <c r="F12" s="19">
        <f>IF($K12="","",INDEX('Balance'!$G$1:$G$202,$K12))</f>
        <v/>
      </c>
      <c r="G12" s="16">
        <f>IF($K12="","",INDEX('Items'!$J$1:$J$202,$K12))</f>
        <v/>
      </c>
      <c r="H12" s="19">
        <f>IF($K12="","",INDEX('Balance'!$K$1:$K$202,$K12))</f>
        <v/>
      </c>
      <c r="I12" s="19">
        <f>IF($K12="","",G12*H12)</f>
        <v/>
      </c>
      <c r="K12" s="16">
        <f>IFERROR(MOD(SMALL('Balance'!$M$3:$M$202,3),10000),"")</f>
        <v/>
      </c>
    </row>
    <row r="13">
      <c r="A13" s="8">
        <f>IF($K13="","",INDEX('Balance'!$D$1:$D$202,$K13))</f>
        <v/>
      </c>
      <c r="B13" s="8">
        <f>IF($K13="","",INDEX('Balance'!$A$1:$A$202,$K13))</f>
        <v/>
      </c>
      <c r="C13" s="8">
        <f>IF($K13="","",INDEX('Balance'!$B$1:$B$202,$K13))</f>
        <v/>
      </c>
      <c r="D13" s="8">
        <f>IF($K13="","",INDEX('Balance'!$E$1:$E$202,$K13))</f>
        <v/>
      </c>
      <c r="E13" s="16">
        <f>IF($K13="","",INDEX('Balance'!$F$1:$F$202,$K13))</f>
        <v/>
      </c>
      <c r="F13" s="19">
        <f>IF($K13="","",INDEX('Balance'!$G$1:$G$202,$K13))</f>
        <v/>
      </c>
      <c r="G13" s="16">
        <f>IF($K13="","",INDEX('Items'!$J$1:$J$202,$K13))</f>
        <v/>
      </c>
      <c r="H13" s="19">
        <f>IF($K13="","",INDEX('Balance'!$K$1:$K$202,$K13))</f>
        <v/>
      </c>
      <c r="I13" s="19">
        <f>IF($K13="","",G13*H13)</f>
        <v/>
      </c>
      <c r="K13" s="16">
        <f>IFERROR(MOD(SMALL('Balance'!$M$3:$M$202,4),10000),"")</f>
        <v/>
      </c>
    </row>
    <row r="14">
      <c r="A14" s="8">
        <f>IF($K14="","",INDEX('Balance'!$D$1:$D$202,$K14))</f>
        <v/>
      </c>
      <c r="B14" s="8">
        <f>IF($K14="","",INDEX('Balance'!$A$1:$A$202,$K14))</f>
        <v/>
      </c>
      <c r="C14" s="8">
        <f>IF($K14="","",INDEX('Balance'!$B$1:$B$202,$K14))</f>
        <v/>
      </c>
      <c r="D14" s="8">
        <f>IF($K14="","",INDEX('Balance'!$E$1:$E$202,$K14))</f>
        <v/>
      </c>
      <c r="E14" s="16">
        <f>IF($K14="","",INDEX('Balance'!$F$1:$F$202,$K14))</f>
        <v/>
      </c>
      <c r="F14" s="19">
        <f>IF($K14="","",INDEX('Balance'!$G$1:$G$202,$K14))</f>
        <v/>
      </c>
      <c r="G14" s="16">
        <f>IF($K14="","",INDEX('Items'!$J$1:$J$202,$K14))</f>
        <v/>
      </c>
      <c r="H14" s="19">
        <f>IF($K14="","",INDEX('Balance'!$K$1:$K$202,$K14))</f>
        <v/>
      </c>
      <c r="I14" s="19">
        <f>IF($K14="","",G14*H14)</f>
        <v/>
      </c>
      <c r="K14" s="16">
        <f>IFERROR(MOD(SMALL('Balance'!$M$3:$M$202,5),10000),"")</f>
        <v/>
      </c>
    </row>
    <row r="15">
      <c r="A15" s="8">
        <f>IF($K15="","",INDEX('Balance'!$D$1:$D$202,$K15))</f>
        <v/>
      </c>
      <c r="B15" s="8">
        <f>IF($K15="","",INDEX('Balance'!$A$1:$A$202,$K15))</f>
        <v/>
      </c>
      <c r="C15" s="8">
        <f>IF($K15="","",INDEX('Balance'!$B$1:$B$202,$K15))</f>
        <v/>
      </c>
      <c r="D15" s="8">
        <f>IF($K15="","",INDEX('Balance'!$E$1:$E$202,$K15))</f>
        <v/>
      </c>
      <c r="E15" s="16">
        <f>IF($K15="","",INDEX('Balance'!$F$1:$F$202,$K15))</f>
        <v/>
      </c>
      <c r="F15" s="19">
        <f>IF($K15="","",INDEX('Balance'!$G$1:$G$202,$K15))</f>
        <v/>
      </c>
      <c r="G15" s="16">
        <f>IF($K15="","",INDEX('Items'!$J$1:$J$202,$K15))</f>
        <v/>
      </c>
      <c r="H15" s="19">
        <f>IF($K15="","",INDEX('Balance'!$K$1:$K$202,$K15))</f>
        <v/>
      </c>
      <c r="I15" s="19">
        <f>IF($K15="","",G15*H15)</f>
        <v/>
      </c>
      <c r="K15" s="16">
        <f>IFERROR(MOD(SMALL('Balance'!$M$3:$M$202,6),10000),"")</f>
        <v/>
      </c>
    </row>
    <row r="16">
      <c r="A16" s="8">
        <f>IF($K16="","",INDEX('Balance'!$D$1:$D$202,$K16))</f>
        <v/>
      </c>
      <c r="B16" s="8">
        <f>IF($K16="","",INDEX('Balance'!$A$1:$A$202,$K16))</f>
        <v/>
      </c>
      <c r="C16" s="8">
        <f>IF($K16="","",INDEX('Balance'!$B$1:$B$202,$K16))</f>
        <v/>
      </c>
      <c r="D16" s="8">
        <f>IF($K16="","",INDEX('Balance'!$E$1:$E$202,$K16))</f>
        <v/>
      </c>
      <c r="E16" s="16">
        <f>IF($K16="","",INDEX('Balance'!$F$1:$F$202,$K16))</f>
        <v/>
      </c>
      <c r="F16" s="19">
        <f>IF($K16="","",INDEX('Balance'!$G$1:$G$202,$K16))</f>
        <v/>
      </c>
      <c r="G16" s="16">
        <f>IF($K16="","",INDEX('Items'!$J$1:$J$202,$K16))</f>
        <v/>
      </c>
      <c r="H16" s="19">
        <f>IF($K16="","",INDEX('Balance'!$K$1:$K$202,$K16))</f>
        <v/>
      </c>
      <c r="I16" s="19">
        <f>IF($K16="","",G16*H16)</f>
        <v/>
      </c>
      <c r="K16" s="16">
        <f>IFERROR(MOD(SMALL('Balance'!$M$3:$M$202,7),10000),"")</f>
        <v/>
      </c>
    </row>
    <row r="17">
      <c r="A17" s="8">
        <f>IF($K17="","",INDEX('Balance'!$D$1:$D$202,$K17))</f>
        <v/>
      </c>
      <c r="B17" s="8">
        <f>IF($K17="","",INDEX('Balance'!$A$1:$A$202,$K17))</f>
        <v/>
      </c>
      <c r="C17" s="8">
        <f>IF($K17="","",INDEX('Balance'!$B$1:$B$202,$K17))</f>
        <v/>
      </c>
      <c r="D17" s="8">
        <f>IF($K17="","",INDEX('Balance'!$E$1:$E$202,$K17))</f>
        <v/>
      </c>
      <c r="E17" s="16">
        <f>IF($K17="","",INDEX('Balance'!$F$1:$F$202,$K17))</f>
        <v/>
      </c>
      <c r="F17" s="19">
        <f>IF($K17="","",INDEX('Balance'!$G$1:$G$202,$K17))</f>
        <v/>
      </c>
      <c r="G17" s="16">
        <f>IF($K17="","",INDEX('Items'!$J$1:$J$202,$K17))</f>
        <v/>
      </c>
      <c r="H17" s="19">
        <f>IF($K17="","",INDEX('Balance'!$K$1:$K$202,$K17))</f>
        <v/>
      </c>
      <c r="I17" s="19">
        <f>IF($K17="","",G17*H17)</f>
        <v/>
      </c>
      <c r="K17" s="16">
        <f>IFERROR(MOD(SMALL('Balance'!$M$3:$M$202,8),10000),"")</f>
        <v/>
      </c>
    </row>
    <row r="18">
      <c r="A18" s="8">
        <f>IF($K18="","",INDEX('Balance'!$D$1:$D$202,$K18))</f>
        <v/>
      </c>
      <c r="B18" s="8">
        <f>IF($K18="","",INDEX('Balance'!$A$1:$A$202,$K18))</f>
        <v/>
      </c>
      <c r="C18" s="8">
        <f>IF($K18="","",INDEX('Balance'!$B$1:$B$202,$K18))</f>
        <v/>
      </c>
      <c r="D18" s="8">
        <f>IF($K18="","",INDEX('Balance'!$E$1:$E$202,$K18))</f>
        <v/>
      </c>
      <c r="E18" s="16">
        <f>IF($K18="","",INDEX('Balance'!$F$1:$F$202,$K18))</f>
        <v/>
      </c>
      <c r="F18" s="19">
        <f>IF($K18="","",INDEX('Balance'!$G$1:$G$202,$K18))</f>
        <v/>
      </c>
      <c r="G18" s="16">
        <f>IF($K18="","",INDEX('Items'!$J$1:$J$202,$K18))</f>
        <v/>
      </c>
      <c r="H18" s="19">
        <f>IF($K18="","",INDEX('Balance'!$K$1:$K$202,$K18))</f>
        <v/>
      </c>
      <c r="I18" s="19">
        <f>IF($K18="","",G18*H18)</f>
        <v/>
      </c>
      <c r="K18" s="16">
        <f>IFERROR(MOD(SMALL('Balance'!$M$3:$M$202,9),10000),"")</f>
        <v/>
      </c>
    </row>
    <row r="19">
      <c r="A19" s="8">
        <f>IF($K19="","",INDEX('Balance'!$D$1:$D$202,$K19))</f>
        <v/>
      </c>
      <c r="B19" s="8">
        <f>IF($K19="","",INDEX('Balance'!$A$1:$A$202,$K19))</f>
        <v/>
      </c>
      <c r="C19" s="8">
        <f>IF($K19="","",INDEX('Balance'!$B$1:$B$202,$K19))</f>
        <v/>
      </c>
      <c r="D19" s="8">
        <f>IF($K19="","",INDEX('Balance'!$E$1:$E$202,$K19))</f>
        <v/>
      </c>
      <c r="E19" s="16">
        <f>IF($K19="","",INDEX('Balance'!$F$1:$F$202,$K19))</f>
        <v/>
      </c>
      <c r="F19" s="19">
        <f>IF($K19="","",INDEX('Balance'!$G$1:$G$202,$K19))</f>
        <v/>
      </c>
      <c r="G19" s="16">
        <f>IF($K19="","",INDEX('Items'!$J$1:$J$202,$K19))</f>
        <v/>
      </c>
      <c r="H19" s="19">
        <f>IF($K19="","",INDEX('Balance'!$K$1:$K$202,$K19))</f>
        <v/>
      </c>
      <c r="I19" s="19">
        <f>IF($K19="","",G19*H19)</f>
        <v/>
      </c>
      <c r="K19" s="16">
        <f>IFERROR(MOD(SMALL('Balance'!$M$3:$M$202,10),10000),"")</f>
        <v/>
      </c>
    </row>
    <row r="20">
      <c r="A20" s="8">
        <f>IF($K20="","",INDEX('Balance'!$D$1:$D$202,$K20))</f>
        <v/>
      </c>
      <c r="B20" s="8">
        <f>IF($K20="","",INDEX('Balance'!$A$1:$A$202,$K20))</f>
        <v/>
      </c>
      <c r="C20" s="8">
        <f>IF($K20="","",INDEX('Balance'!$B$1:$B$202,$K20))</f>
        <v/>
      </c>
      <c r="D20" s="8">
        <f>IF($K20="","",INDEX('Balance'!$E$1:$E$202,$K20))</f>
        <v/>
      </c>
      <c r="E20" s="16">
        <f>IF($K20="","",INDEX('Balance'!$F$1:$F$202,$K20))</f>
        <v/>
      </c>
      <c r="F20" s="19">
        <f>IF($K20="","",INDEX('Balance'!$G$1:$G$202,$K20))</f>
        <v/>
      </c>
      <c r="G20" s="16">
        <f>IF($K20="","",INDEX('Items'!$J$1:$J$202,$K20))</f>
        <v/>
      </c>
      <c r="H20" s="19">
        <f>IF($K20="","",INDEX('Balance'!$K$1:$K$202,$K20))</f>
        <v/>
      </c>
      <c r="I20" s="19">
        <f>IF($K20="","",G20*H20)</f>
        <v/>
      </c>
      <c r="K20" s="16">
        <f>IFERROR(MOD(SMALL('Balance'!$M$3:$M$202,11),10000),"")</f>
        <v/>
      </c>
    </row>
    <row r="21">
      <c r="A21" s="8">
        <f>IF($K21="","",INDEX('Balance'!$D$1:$D$202,$K21))</f>
        <v/>
      </c>
      <c r="B21" s="8">
        <f>IF($K21="","",INDEX('Balance'!$A$1:$A$202,$K21))</f>
        <v/>
      </c>
      <c r="C21" s="8">
        <f>IF($K21="","",INDEX('Balance'!$B$1:$B$202,$K21))</f>
        <v/>
      </c>
      <c r="D21" s="8">
        <f>IF($K21="","",INDEX('Balance'!$E$1:$E$202,$K21))</f>
        <v/>
      </c>
      <c r="E21" s="16">
        <f>IF($K21="","",INDEX('Balance'!$F$1:$F$202,$K21))</f>
        <v/>
      </c>
      <c r="F21" s="19">
        <f>IF($K21="","",INDEX('Balance'!$G$1:$G$202,$K21))</f>
        <v/>
      </c>
      <c r="G21" s="16">
        <f>IF($K21="","",INDEX('Items'!$J$1:$J$202,$K21))</f>
        <v/>
      </c>
      <c r="H21" s="19">
        <f>IF($K21="","",INDEX('Balance'!$K$1:$K$202,$K21))</f>
        <v/>
      </c>
      <c r="I21" s="19">
        <f>IF($K21="","",G21*H21)</f>
        <v/>
      </c>
      <c r="K21" s="16">
        <f>IFERROR(MOD(SMALL('Balance'!$M$3:$M$202,12),10000),"")</f>
        <v/>
      </c>
    </row>
    <row r="22">
      <c r="A22" s="8">
        <f>IF($K22="","",INDEX('Balance'!$D$1:$D$202,$K22))</f>
        <v/>
      </c>
      <c r="B22" s="8">
        <f>IF($K22="","",INDEX('Balance'!$A$1:$A$202,$K22))</f>
        <v/>
      </c>
      <c r="C22" s="8">
        <f>IF($K22="","",INDEX('Balance'!$B$1:$B$202,$K22))</f>
        <v/>
      </c>
      <c r="D22" s="8">
        <f>IF($K22="","",INDEX('Balance'!$E$1:$E$202,$K22))</f>
        <v/>
      </c>
      <c r="E22" s="16">
        <f>IF($K22="","",INDEX('Balance'!$F$1:$F$202,$K22))</f>
        <v/>
      </c>
      <c r="F22" s="19">
        <f>IF($K22="","",INDEX('Balance'!$G$1:$G$202,$K22))</f>
        <v/>
      </c>
      <c r="G22" s="16">
        <f>IF($K22="","",INDEX('Items'!$J$1:$J$202,$K22))</f>
        <v/>
      </c>
      <c r="H22" s="19">
        <f>IF($K22="","",INDEX('Balance'!$K$1:$K$202,$K22))</f>
        <v/>
      </c>
      <c r="I22" s="19">
        <f>IF($K22="","",G22*H22)</f>
        <v/>
      </c>
      <c r="K22" s="16">
        <f>IFERROR(MOD(SMALL('Balance'!$M$3:$M$202,13),10000),"")</f>
        <v/>
      </c>
    </row>
    <row r="23">
      <c r="A23" s="8">
        <f>IF($K23="","",INDEX('Balance'!$D$1:$D$202,$K23))</f>
        <v/>
      </c>
      <c r="B23" s="8">
        <f>IF($K23="","",INDEX('Balance'!$A$1:$A$202,$K23))</f>
        <v/>
      </c>
      <c r="C23" s="8">
        <f>IF($K23="","",INDEX('Balance'!$B$1:$B$202,$K23))</f>
        <v/>
      </c>
      <c r="D23" s="8">
        <f>IF($K23="","",INDEX('Balance'!$E$1:$E$202,$K23))</f>
        <v/>
      </c>
      <c r="E23" s="16">
        <f>IF($K23="","",INDEX('Balance'!$F$1:$F$202,$K23))</f>
        <v/>
      </c>
      <c r="F23" s="19">
        <f>IF($K23="","",INDEX('Balance'!$G$1:$G$202,$K23))</f>
        <v/>
      </c>
      <c r="G23" s="16">
        <f>IF($K23="","",INDEX('Items'!$J$1:$J$202,$K23))</f>
        <v/>
      </c>
      <c r="H23" s="19">
        <f>IF($K23="","",INDEX('Balance'!$K$1:$K$202,$K23))</f>
        <v/>
      </c>
      <c r="I23" s="19">
        <f>IF($K23="","",G23*H23)</f>
        <v/>
      </c>
      <c r="K23" s="16">
        <f>IFERROR(MOD(SMALL('Balance'!$M$3:$M$202,14),10000),"")</f>
        <v/>
      </c>
    </row>
    <row r="24">
      <c r="A24" s="8">
        <f>IF($K24="","",INDEX('Balance'!$D$1:$D$202,$K24))</f>
        <v/>
      </c>
      <c r="B24" s="8">
        <f>IF($K24="","",INDEX('Balance'!$A$1:$A$202,$K24))</f>
        <v/>
      </c>
      <c r="C24" s="8">
        <f>IF($K24="","",INDEX('Balance'!$B$1:$B$202,$K24))</f>
        <v/>
      </c>
      <c r="D24" s="8">
        <f>IF($K24="","",INDEX('Balance'!$E$1:$E$202,$K24))</f>
        <v/>
      </c>
      <c r="E24" s="16">
        <f>IF($K24="","",INDEX('Balance'!$F$1:$F$202,$K24))</f>
        <v/>
      </c>
      <c r="F24" s="19">
        <f>IF($K24="","",INDEX('Balance'!$G$1:$G$202,$K24))</f>
        <v/>
      </c>
      <c r="G24" s="16">
        <f>IF($K24="","",INDEX('Items'!$J$1:$J$202,$K24))</f>
        <v/>
      </c>
      <c r="H24" s="19">
        <f>IF($K24="","",INDEX('Balance'!$K$1:$K$202,$K24))</f>
        <v/>
      </c>
      <c r="I24" s="19">
        <f>IF($K24="","",G24*H24)</f>
        <v/>
      </c>
      <c r="K24" s="16">
        <f>IFERROR(MOD(SMALL('Balance'!$M$3:$M$202,15),10000),"")</f>
        <v/>
      </c>
    </row>
    <row r="25">
      <c r="A25" s="8">
        <f>IF($K25="","",INDEX('Balance'!$D$1:$D$202,$K25))</f>
        <v/>
      </c>
      <c r="B25" s="8">
        <f>IF($K25="","",INDEX('Balance'!$A$1:$A$202,$K25))</f>
        <v/>
      </c>
      <c r="C25" s="8">
        <f>IF($K25="","",INDEX('Balance'!$B$1:$B$202,$K25))</f>
        <v/>
      </c>
      <c r="D25" s="8">
        <f>IF($K25="","",INDEX('Balance'!$E$1:$E$202,$K25))</f>
        <v/>
      </c>
      <c r="E25" s="16">
        <f>IF($K25="","",INDEX('Balance'!$F$1:$F$202,$K25))</f>
        <v/>
      </c>
      <c r="F25" s="19">
        <f>IF($K25="","",INDEX('Balance'!$G$1:$G$202,$K25))</f>
        <v/>
      </c>
      <c r="G25" s="16">
        <f>IF($K25="","",INDEX('Items'!$J$1:$J$202,$K25))</f>
        <v/>
      </c>
      <c r="H25" s="19">
        <f>IF($K25="","",INDEX('Balance'!$K$1:$K$202,$K25))</f>
        <v/>
      </c>
      <c r="I25" s="19">
        <f>IF($K25="","",G25*H25)</f>
        <v/>
      </c>
      <c r="K25" s="16">
        <f>IFERROR(MOD(SMALL('Balance'!$M$3:$M$202,16),10000),"")</f>
        <v/>
      </c>
    </row>
    <row r="26">
      <c r="A26" s="8">
        <f>IF($K26="","",INDEX('Balance'!$D$1:$D$202,$K26))</f>
        <v/>
      </c>
      <c r="B26" s="8">
        <f>IF($K26="","",INDEX('Balance'!$A$1:$A$202,$K26))</f>
        <v/>
      </c>
      <c r="C26" s="8">
        <f>IF($K26="","",INDEX('Balance'!$B$1:$B$202,$K26))</f>
        <v/>
      </c>
      <c r="D26" s="8">
        <f>IF($K26="","",INDEX('Balance'!$E$1:$E$202,$K26))</f>
        <v/>
      </c>
      <c r="E26" s="16">
        <f>IF($K26="","",INDEX('Balance'!$F$1:$F$202,$K26))</f>
        <v/>
      </c>
      <c r="F26" s="19">
        <f>IF($K26="","",INDEX('Balance'!$G$1:$G$202,$K26))</f>
        <v/>
      </c>
      <c r="G26" s="16">
        <f>IF($K26="","",INDEX('Items'!$J$1:$J$202,$K26))</f>
        <v/>
      </c>
      <c r="H26" s="19">
        <f>IF($K26="","",INDEX('Balance'!$K$1:$K$202,$K26))</f>
        <v/>
      </c>
      <c r="I26" s="19">
        <f>IF($K26="","",G26*H26)</f>
        <v/>
      </c>
      <c r="K26" s="16">
        <f>IFERROR(MOD(SMALL('Balance'!$M$3:$M$202,17),10000),"")</f>
        <v/>
      </c>
    </row>
    <row r="27">
      <c r="A27" s="8">
        <f>IF($K27="","",INDEX('Balance'!$D$1:$D$202,$K27))</f>
        <v/>
      </c>
      <c r="B27" s="8">
        <f>IF($K27="","",INDEX('Balance'!$A$1:$A$202,$K27))</f>
        <v/>
      </c>
      <c r="C27" s="8">
        <f>IF($K27="","",INDEX('Balance'!$B$1:$B$202,$K27))</f>
        <v/>
      </c>
      <c r="D27" s="8">
        <f>IF($K27="","",INDEX('Balance'!$E$1:$E$202,$K27))</f>
        <v/>
      </c>
      <c r="E27" s="16">
        <f>IF($K27="","",INDEX('Balance'!$F$1:$F$202,$K27))</f>
        <v/>
      </c>
      <c r="F27" s="19">
        <f>IF($K27="","",INDEX('Balance'!$G$1:$G$202,$K27))</f>
        <v/>
      </c>
      <c r="G27" s="16">
        <f>IF($K27="","",INDEX('Items'!$J$1:$J$202,$K27))</f>
        <v/>
      </c>
      <c r="H27" s="19">
        <f>IF($K27="","",INDEX('Balance'!$K$1:$K$202,$K27))</f>
        <v/>
      </c>
      <c r="I27" s="19">
        <f>IF($K27="","",G27*H27)</f>
        <v/>
      </c>
      <c r="K27" s="16">
        <f>IFERROR(MOD(SMALL('Balance'!$M$3:$M$202,18),10000),"")</f>
        <v/>
      </c>
    </row>
    <row r="28">
      <c r="A28" s="8">
        <f>IF($K28="","",INDEX('Balance'!$D$1:$D$202,$K28))</f>
        <v/>
      </c>
      <c r="B28" s="8">
        <f>IF($K28="","",INDEX('Balance'!$A$1:$A$202,$K28))</f>
        <v/>
      </c>
      <c r="C28" s="8">
        <f>IF($K28="","",INDEX('Balance'!$B$1:$B$202,$K28))</f>
        <v/>
      </c>
      <c r="D28" s="8">
        <f>IF($K28="","",INDEX('Balance'!$E$1:$E$202,$K28))</f>
        <v/>
      </c>
      <c r="E28" s="16">
        <f>IF($K28="","",INDEX('Balance'!$F$1:$F$202,$K28))</f>
        <v/>
      </c>
      <c r="F28" s="19">
        <f>IF($K28="","",INDEX('Balance'!$G$1:$G$202,$K28))</f>
        <v/>
      </c>
      <c r="G28" s="16">
        <f>IF($K28="","",INDEX('Items'!$J$1:$J$202,$K28))</f>
        <v/>
      </c>
      <c r="H28" s="19">
        <f>IF($K28="","",INDEX('Balance'!$K$1:$K$202,$K28))</f>
        <v/>
      </c>
      <c r="I28" s="19">
        <f>IF($K28="","",G28*H28)</f>
        <v/>
      </c>
      <c r="K28" s="16">
        <f>IFERROR(MOD(SMALL('Balance'!$M$3:$M$202,19),10000),"")</f>
        <v/>
      </c>
    </row>
    <row r="29">
      <c r="A29" s="8">
        <f>IF($K29="","",INDEX('Balance'!$D$1:$D$202,$K29))</f>
        <v/>
      </c>
      <c r="B29" s="8">
        <f>IF($K29="","",INDEX('Balance'!$A$1:$A$202,$K29))</f>
        <v/>
      </c>
      <c r="C29" s="8">
        <f>IF($K29="","",INDEX('Balance'!$B$1:$B$202,$K29))</f>
        <v/>
      </c>
      <c r="D29" s="8">
        <f>IF($K29="","",INDEX('Balance'!$E$1:$E$202,$K29))</f>
        <v/>
      </c>
      <c r="E29" s="16">
        <f>IF($K29="","",INDEX('Balance'!$F$1:$F$202,$K29))</f>
        <v/>
      </c>
      <c r="F29" s="19">
        <f>IF($K29="","",INDEX('Balance'!$G$1:$G$202,$K29))</f>
        <v/>
      </c>
      <c r="G29" s="16">
        <f>IF($K29="","",INDEX('Items'!$J$1:$J$202,$K29))</f>
        <v/>
      </c>
      <c r="H29" s="19">
        <f>IF($K29="","",INDEX('Balance'!$K$1:$K$202,$K29))</f>
        <v/>
      </c>
      <c r="I29" s="19">
        <f>IF($K29="","",G29*H29)</f>
        <v/>
      </c>
      <c r="K29" s="16">
        <f>IFERROR(MOD(SMALL('Balance'!$M$3:$M$202,20),10000),"")</f>
        <v/>
      </c>
    </row>
    <row r="30">
      <c r="A30" s="8">
        <f>IF($K30="","",INDEX('Balance'!$D$1:$D$202,$K30))</f>
        <v/>
      </c>
      <c r="B30" s="8">
        <f>IF($K30="","",INDEX('Balance'!$A$1:$A$202,$K30))</f>
        <v/>
      </c>
      <c r="C30" s="8">
        <f>IF($K30="","",INDEX('Balance'!$B$1:$B$202,$K30))</f>
        <v/>
      </c>
      <c r="D30" s="8">
        <f>IF($K30="","",INDEX('Balance'!$E$1:$E$202,$K30))</f>
        <v/>
      </c>
      <c r="E30" s="16">
        <f>IF($K30="","",INDEX('Balance'!$F$1:$F$202,$K30))</f>
        <v/>
      </c>
      <c r="F30" s="19">
        <f>IF($K30="","",INDEX('Balance'!$G$1:$G$202,$K30))</f>
        <v/>
      </c>
      <c r="G30" s="16">
        <f>IF($K30="","",INDEX('Items'!$J$1:$J$202,$K30))</f>
        <v/>
      </c>
      <c r="H30" s="19">
        <f>IF($K30="","",INDEX('Balance'!$K$1:$K$202,$K30))</f>
        <v/>
      </c>
      <c r="I30" s="19">
        <f>IF($K30="","",G30*H30)</f>
        <v/>
      </c>
      <c r="K30" s="16">
        <f>IFERROR(MOD(SMALL('Balance'!$M$3:$M$202,21),10000),"")</f>
        <v/>
      </c>
    </row>
    <row r="31">
      <c r="A31" s="8">
        <f>IF($K31="","",INDEX('Balance'!$D$1:$D$202,$K31))</f>
        <v/>
      </c>
      <c r="B31" s="8">
        <f>IF($K31="","",INDEX('Balance'!$A$1:$A$202,$K31))</f>
        <v/>
      </c>
      <c r="C31" s="8">
        <f>IF($K31="","",INDEX('Balance'!$B$1:$B$202,$K31))</f>
        <v/>
      </c>
      <c r="D31" s="8">
        <f>IF($K31="","",INDEX('Balance'!$E$1:$E$202,$K31))</f>
        <v/>
      </c>
      <c r="E31" s="16">
        <f>IF($K31="","",INDEX('Balance'!$F$1:$F$202,$K31))</f>
        <v/>
      </c>
      <c r="F31" s="19">
        <f>IF($K31="","",INDEX('Balance'!$G$1:$G$202,$K31))</f>
        <v/>
      </c>
      <c r="G31" s="16">
        <f>IF($K31="","",INDEX('Items'!$J$1:$J$202,$K31))</f>
        <v/>
      </c>
      <c r="H31" s="19">
        <f>IF($K31="","",INDEX('Balance'!$K$1:$K$202,$K31))</f>
        <v/>
      </c>
      <c r="I31" s="19">
        <f>IF($K31="","",G31*H31)</f>
        <v/>
      </c>
      <c r="K31" s="16">
        <f>IFERROR(MOD(SMALL('Balance'!$M$3:$M$202,22),10000),"")</f>
        <v/>
      </c>
    </row>
    <row r="32">
      <c r="A32" s="8">
        <f>IF($K32="","",INDEX('Balance'!$D$1:$D$202,$K32))</f>
        <v/>
      </c>
      <c r="B32" s="8">
        <f>IF($K32="","",INDEX('Balance'!$A$1:$A$202,$K32))</f>
        <v/>
      </c>
      <c r="C32" s="8">
        <f>IF($K32="","",INDEX('Balance'!$B$1:$B$202,$K32))</f>
        <v/>
      </c>
      <c r="D32" s="8">
        <f>IF($K32="","",INDEX('Balance'!$E$1:$E$202,$K32))</f>
        <v/>
      </c>
      <c r="E32" s="16">
        <f>IF($K32="","",INDEX('Balance'!$F$1:$F$202,$K32))</f>
        <v/>
      </c>
      <c r="F32" s="19">
        <f>IF($K32="","",INDEX('Balance'!$G$1:$G$202,$K32))</f>
        <v/>
      </c>
      <c r="G32" s="16">
        <f>IF($K32="","",INDEX('Items'!$J$1:$J$202,$K32))</f>
        <v/>
      </c>
      <c r="H32" s="19">
        <f>IF($K32="","",INDEX('Balance'!$K$1:$K$202,$K32))</f>
        <v/>
      </c>
      <c r="I32" s="19">
        <f>IF($K32="","",G32*H32)</f>
        <v/>
      </c>
      <c r="K32" s="16">
        <f>IFERROR(MOD(SMALL('Balance'!$M$3:$M$202,23),10000),"")</f>
        <v/>
      </c>
    </row>
    <row r="33">
      <c r="A33" s="8">
        <f>IF($K33="","",INDEX('Balance'!$D$1:$D$202,$K33))</f>
        <v/>
      </c>
      <c r="B33" s="8">
        <f>IF($K33="","",INDEX('Balance'!$A$1:$A$202,$K33))</f>
        <v/>
      </c>
      <c r="C33" s="8">
        <f>IF($K33="","",INDEX('Balance'!$B$1:$B$202,$K33))</f>
        <v/>
      </c>
      <c r="D33" s="8">
        <f>IF($K33="","",INDEX('Balance'!$E$1:$E$202,$K33))</f>
        <v/>
      </c>
      <c r="E33" s="16">
        <f>IF($K33="","",INDEX('Balance'!$F$1:$F$202,$K33))</f>
        <v/>
      </c>
      <c r="F33" s="19">
        <f>IF($K33="","",INDEX('Balance'!$G$1:$G$202,$K33))</f>
        <v/>
      </c>
      <c r="G33" s="16">
        <f>IF($K33="","",INDEX('Items'!$J$1:$J$202,$K33))</f>
        <v/>
      </c>
      <c r="H33" s="19">
        <f>IF($K33="","",INDEX('Balance'!$K$1:$K$202,$K33))</f>
        <v/>
      </c>
      <c r="I33" s="19">
        <f>IF($K33="","",G33*H33)</f>
        <v/>
      </c>
      <c r="K33" s="16">
        <f>IFERROR(MOD(SMALL('Balance'!$M$3:$M$202,24),10000),"")</f>
        <v/>
      </c>
    </row>
    <row r="34">
      <c r="A34" s="8">
        <f>IF($K34="","",INDEX('Balance'!$D$1:$D$202,$K34))</f>
        <v/>
      </c>
      <c r="B34" s="8">
        <f>IF($K34="","",INDEX('Balance'!$A$1:$A$202,$K34))</f>
        <v/>
      </c>
      <c r="C34" s="8">
        <f>IF($K34="","",INDEX('Balance'!$B$1:$B$202,$K34))</f>
        <v/>
      </c>
      <c r="D34" s="8">
        <f>IF($K34="","",INDEX('Balance'!$E$1:$E$202,$K34))</f>
        <v/>
      </c>
      <c r="E34" s="16">
        <f>IF($K34="","",INDEX('Balance'!$F$1:$F$202,$K34))</f>
        <v/>
      </c>
      <c r="F34" s="19">
        <f>IF($K34="","",INDEX('Balance'!$G$1:$G$202,$K34))</f>
        <v/>
      </c>
      <c r="G34" s="16">
        <f>IF($K34="","",INDEX('Items'!$J$1:$J$202,$K34))</f>
        <v/>
      </c>
      <c r="H34" s="19">
        <f>IF($K34="","",INDEX('Balance'!$K$1:$K$202,$K34))</f>
        <v/>
      </c>
      <c r="I34" s="19">
        <f>IF($K34="","",G34*H34)</f>
        <v/>
      </c>
      <c r="K34" s="16">
        <f>IFERROR(MOD(SMALL('Balance'!$M$3:$M$202,25),10000),"")</f>
        <v/>
      </c>
    </row>
    <row r="35">
      <c r="A35" s="8">
        <f>IF($K35="","",INDEX('Balance'!$D$1:$D$202,$K35))</f>
        <v/>
      </c>
      <c r="B35" s="8">
        <f>IF($K35="","",INDEX('Balance'!$A$1:$A$202,$K35))</f>
        <v/>
      </c>
      <c r="C35" s="8">
        <f>IF($K35="","",INDEX('Balance'!$B$1:$B$202,$K35))</f>
        <v/>
      </c>
      <c r="D35" s="8">
        <f>IF($K35="","",INDEX('Balance'!$E$1:$E$202,$K35))</f>
        <v/>
      </c>
      <c r="E35" s="16">
        <f>IF($K35="","",INDEX('Balance'!$F$1:$F$202,$K35))</f>
        <v/>
      </c>
      <c r="F35" s="19">
        <f>IF($K35="","",INDEX('Balance'!$G$1:$G$202,$K35))</f>
        <v/>
      </c>
      <c r="G35" s="16">
        <f>IF($K35="","",INDEX('Items'!$J$1:$J$202,$K35))</f>
        <v/>
      </c>
      <c r="H35" s="19">
        <f>IF($K35="","",INDEX('Balance'!$K$1:$K$202,$K35))</f>
        <v/>
      </c>
      <c r="I35" s="19">
        <f>IF($K35="","",G35*H35)</f>
        <v/>
      </c>
      <c r="K35" s="16">
        <f>IFERROR(MOD(SMALL('Balance'!$M$3:$M$202,26),10000),"")</f>
        <v/>
      </c>
    </row>
    <row r="36">
      <c r="A36" s="8">
        <f>IF($K36="","",INDEX('Balance'!$D$1:$D$202,$K36))</f>
        <v/>
      </c>
      <c r="B36" s="8">
        <f>IF($K36="","",INDEX('Balance'!$A$1:$A$202,$K36))</f>
        <v/>
      </c>
      <c r="C36" s="8">
        <f>IF($K36="","",INDEX('Balance'!$B$1:$B$202,$K36))</f>
        <v/>
      </c>
      <c r="D36" s="8">
        <f>IF($K36="","",INDEX('Balance'!$E$1:$E$202,$K36))</f>
        <v/>
      </c>
      <c r="E36" s="16">
        <f>IF($K36="","",INDEX('Balance'!$F$1:$F$202,$K36))</f>
        <v/>
      </c>
      <c r="F36" s="19">
        <f>IF($K36="","",INDEX('Balance'!$G$1:$G$202,$K36))</f>
        <v/>
      </c>
      <c r="G36" s="16">
        <f>IF($K36="","",INDEX('Items'!$J$1:$J$202,$K36))</f>
        <v/>
      </c>
      <c r="H36" s="19">
        <f>IF($K36="","",INDEX('Balance'!$K$1:$K$202,$K36))</f>
        <v/>
      </c>
      <c r="I36" s="19">
        <f>IF($K36="","",G36*H36)</f>
        <v/>
      </c>
      <c r="K36" s="16">
        <f>IFERROR(MOD(SMALL('Balance'!$M$3:$M$202,27),10000),"")</f>
        <v/>
      </c>
    </row>
    <row r="37">
      <c r="A37" s="8">
        <f>IF($K37="","",INDEX('Balance'!$D$1:$D$202,$K37))</f>
        <v/>
      </c>
      <c r="B37" s="8">
        <f>IF($K37="","",INDEX('Balance'!$A$1:$A$202,$K37))</f>
        <v/>
      </c>
      <c r="C37" s="8">
        <f>IF($K37="","",INDEX('Balance'!$B$1:$B$202,$K37))</f>
        <v/>
      </c>
      <c r="D37" s="8">
        <f>IF($K37="","",INDEX('Balance'!$E$1:$E$202,$K37))</f>
        <v/>
      </c>
      <c r="E37" s="16">
        <f>IF($K37="","",INDEX('Balance'!$F$1:$F$202,$K37))</f>
        <v/>
      </c>
      <c r="F37" s="19">
        <f>IF($K37="","",INDEX('Balance'!$G$1:$G$202,$K37))</f>
        <v/>
      </c>
      <c r="G37" s="16">
        <f>IF($K37="","",INDEX('Items'!$J$1:$J$202,$K37))</f>
        <v/>
      </c>
      <c r="H37" s="19">
        <f>IF($K37="","",INDEX('Balance'!$K$1:$K$202,$K37))</f>
        <v/>
      </c>
      <c r="I37" s="19">
        <f>IF($K37="","",G37*H37)</f>
        <v/>
      </c>
      <c r="K37" s="16">
        <f>IFERROR(MOD(SMALL('Balance'!$M$3:$M$202,28),10000),"")</f>
        <v/>
      </c>
    </row>
    <row r="38">
      <c r="A38" s="8">
        <f>IF($K38="","",INDEX('Balance'!$D$1:$D$202,$K38))</f>
        <v/>
      </c>
      <c r="B38" s="8">
        <f>IF($K38="","",INDEX('Balance'!$A$1:$A$202,$K38))</f>
        <v/>
      </c>
      <c r="C38" s="8">
        <f>IF($K38="","",INDEX('Balance'!$B$1:$B$202,$K38))</f>
        <v/>
      </c>
      <c r="D38" s="8">
        <f>IF($K38="","",INDEX('Balance'!$E$1:$E$202,$K38))</f>
        <v/>
      </c>
      <c r="E38" s="16">
        <f>IF($K38="","",INDEX('Balance'!$F$1:$F$202,$K38))</f>
        <v/>
      </c>
      <c r="F38" s="19">
        <f>IF($K38="","",INDEX('Balance'!$G$1:$G$202,$K38))</f>
        <v/>
      </c>
      <c r="G38" s="16">
        <f>IF($K38="","",INDEX('Items'!$J$1:$J$202,$K38))</f>
        <v/>
      </c>
      <c r="H38" s="19">
        <f>IF($K38="","",INDEX('Balance'!$K$1:$K$202,$K38))</f>
        <v/>
      </c>
      <c r="I38" s="19">
        <f>IF($K38="","",G38*H38)</f>
        <v/>
      </c>
      <c r="K38" s="16">
        <f>IFERROR(MOD(SMALL('Balance'!$M$3:$M$202,29),10000),"")</f>
        <v/>
      </c>
    </row>
    <row r="39">
      <c r="A39" s="8">
        <f>IF($K39="","",INDEX('Balance'!$D$1:$D$202,$K39))</f>
        <v/>
      </c>
      <c r="B39" s="8">
        <f>IF($K39="","",INDEX('Balance'!$A$1:$A$202,$K39))</f>
        <v/>
      </c>
      <c r="C39" s="8">
        <f>IF($K39="","",INDEX('Balance'!$B$1:$B$202,$K39))</f>
        <v/>
      </c>
      <c r="D39" s="8">
        <f>IF($K39="","",INDEX('Balance'!$E$1:$E$202,$K39))</f>
        <v/>
      </c>
      <c r="E39" s="16">
        <f>IF($K39="","",INDEX('Balance'!$F$1:$F$202,$K39))</f>
        <v/>
      </c>
      <c r="F39" s="19">
        <f>IF($K39="","",INDEX('Balance'!$G$1:$G$202,$K39))</f>
        <v/>
      </c>
      <c r="G39" s="16">
        <f>IF($K39="","",INDEX('Items'!$J$1:$J$202,$K39))</f>
        <v/>
      </c>
      <c r="H39" s="19">
        <f>IF($K39="","",INDEX('Balance'!$K$1:$K$202,$K39))</f>
        <v/>
      </c>
      <c r="I39" s="19">
        <f>IF($K39="","",G39*H39)</f>
        <v/>
      </c>
      <c r="K39" s="16">
        <f>IFERROR(MOD(SMALL('Balance'!$M$3:$M$202,30),10000),"")</f>
        <v/>
      </c>
    </row>
    <row r="40">
      <c r="A40" s="8">
        <f>IF($K40="","",INDEX('Balance'!$D$1:$D$202,$K40))</f>
        <v/>
      </c>
      <c r="B40" s="8">
        <f>IF($K40="","",INDEX('Balance'!$A$1:$A$202,$K40))</f>
        <v/>
      </c>
      <c r="C40" s="8">
        <f>IF($K40="","",INDEX('Balance'!$B$1:$B$202,$K40))</f>
        <v/>
      </c>
      <c r="D40" s="8">
        <f>IF($K40="","",INDEX('Balance'!$E$1:$E$202,$K40))</f>
        <v/>
      </c>
      <c r="E40" s="16">
        <f>IF($K40="","",INDEX('Balance'!$F$1:$F$202,$K40))</f>
        <v/>
      </c>
      <c r="F40" s="19">
        <f>IF($K40="","",INDEX('Balance'!$G$1:$G$202,$K40))</f>
        <v/>
      </c>
      <c r="G40" s="16">
        <f>IF($K40="","",INDEX('Items'!$J$1:$J$202,$K40))</f>
        <v/>
      </c>
      <c r="H40" s="19">
        <f>IF($K40="","",INDEX('Balance'!$K$1:$K$202,$K40))</f>
        <v/>
      </c>
      <c r="I40" s="19">
        <f>IF($K40="","",G40*H40)</f>
        <v/>
      </c>
      <c r="K40" s="16">
        <f>IFERROR(MOD(SMALL('Balance'!$M$3:$M$202,31),10000),"")</f>
        <v/>
      </c>
    </row>
    <row r="41">
      <c r="A41" s="8">
        <f>IF($K41="","",INDEX('Balance'!$D$1:$D$202,$K41))</f>
        <v/>
      </c>
      <c r="B41" s="8">
        <f>IF($K41="","",INDEX('Balance'!$A$1:$A$202,$K41))</f>
        <v/>
      </c>
      <c r="C41" s="8">
        <f>IF($K41="","",INDEX('Balance'!$B$1:$B$202,$K41))</f>
        <v/>
      </c>
      <c r="D41" s="8">
        <f>IF($K41="","",INDEX('Balance'!$E$1:$E$202,$K41))</f>
        <v/>
      </c>
      <c r="E41" s="16">
        <f>IF($K41="","",INDEX('Balance'!$F$1:$F$202,$K41))</f>
        <v/>
      </c>
      <c r="F41" s="19">
        <f>IF($K41="","",INDEX('Balance'!$G$1:$G$202,$K41))</f>
        <v/>
      </c>
      <c r="G41" s="16">
        <f>IF($K41="","",INDEX('Items'!$J$1:$J$202,$K41))</f>
        <v/>
      </c>
      <c r="H41" s="19">
        <f>IF($K41="","",INDEX('Balance'!$K$1:$K$202,$K41))</f>
        <v/>
      </c>
      <c r="I41" s="19">
        <f>IF($K41="","",G41*H41)</f>
        <v/>
      </c>
      <c r="K41" s="16">
        <f>IFERROR(MOD(SMALL('Balance'!$M$3:$M$202,32),10000),"")</f>
        <v/>
      </c>
    </row>
    <row r="42">
      <c r="A42" s="8">
        <f>IF($K42="","",INDEX('Balance'!$D$1:$D$202,$K42))</f>
        <v/>
      </c>
      <c r="B42" s="8">
        <f>IF($K42="","",INDEX('Balance'!$A$1:$A$202,$K42))</f>
        <v/>
      </c>
      <c r="C42" s="8">
        <f>IF($K42="","",INDEX('Balance'!$B$1:$B$202,$K42))</f>
        <v/>
      </c>
      <c r="D42" s="8">
        <f>IF($K42="","",INDEX('Balance'!$E$1:$E$202,$K42))</f>
        <v/>
      </c>
      <c r="E42" s="16">
        <f>IF($K42="","",INDEX('Balance'!$F$1:$F$202,$K42))</f>
        <v/>
      </c>
      <c r="F42" s="19">
        <f>IF($K42="","",INDEX('Balance'!$G$1:$G$202,$K42))</f>
        <v/>
      </c>
      <c r="G42" s="16">
        <f>IF($K42="","",INDEX('Items'!$J$1:$J$202,$K42))</f>
        <v/>
      </c>
      <c r="H42" s="19">
        <f>IF($K42="","",INDEX('Balance'!$K$1:$K$202,$K42))</f>
        <v/>
      </c>
      <c r="I42" s="19">
        <f>IF($K42="","",G42*H42)</f>
        <v/>
      </c>
      <c r="K42" s="16">
        <f>IFERROR(MOD(SMALL('Balance'!$M$3:$M$202,33),10000),"")</f>
        <v/>
      </c>
    </row>
    <row r="43">
      <c r="A43" s="8">
        <f>IF($K43="","",INDEX('Balance'!$D$1:$D$202,$K43))</f>
        <v/>
      </c>
      <c r="B43" s="8">
        <f>IF($K43="","",INDEX('Balance'!$A$1:$A$202,$K43))</f>
        <v/>
      </c>
      <c r="C43" s="8">
        <f>IF($K43="","",INDEX('Balance'!$B$1:$B$202,$K43))</f>
        <v/>
      </c>
      <c r="D43" s="8">
        <f>IF($K43="","",INDEX('Balance'!$E$1:$E$202,$K43))</f>
        <v/>
      </c>
      <c r="E43" s="16">
        <f>IF($K43="","",INDEX('Balance'!$F$1:$F$202,$K43))</f>
        <v/>
      </c>
      <c r="F43" s="19">
        <f>IF($K43="","",INDEX('Balance'!$G$1:$G$202,$K43))</f>
        <v/>
      </c>
      <c r="G43" s="16">
        <f>IF($K43="","",INDEX('Items'!$J$1:$J$202,$K43))</f>
        <v/>
      </c>
      <c r="H43" s="19">
        <f>IF($K43="","",INDEX('Balance'!$K$1:$K$202,$K43))</f>
        <v/>
      </c>
      <c r="I43" s="19">
        <f>IF($K43="","",G43*H43)</f>
        <v/>
      </c>
      <c r="K43" s="16">
        <f>IFERROR(MOD(SMALL('Balance'!$M$3:$M$202,34),10000),"")</f>
        <v/>
      </c>
    </row>
    <row r="44">
      <c r="A44" s="8">
        <f>IF($K44="","",INDEX('Balance'!$D$1:$D$202,$K44))</f>
        <v/>
      </c>
      <c r="B44" s="8">
        <f>IF($K44="","",INDEX('Balance'!$A$1:$A$202,$K44))</f>
        <v/>
      </c>
      <c r="C44" s="8">
        <f>IF($K44="","",INDEX('Balance'!$B$1:$B$202,$K44))</f>
        <v/>
      </c>
      <c r="D44" s="8">
        <f>IF($K44="","",INDEX('Balance'!$E$1:$E$202,$K44))</f>
        <v/>
      </c>
      <c r="E44" s="16">
        <f>IF($K44="","",INDEX('Balance'!$F$1:$F$202,$K44))</f>
        <v/>
      </c>
      <c r="F44" s="19">
        <f>IF($K44="","",INDEX('Balance'!$G$1:$G$202,$K44))</f>
        <v/>
      </c>
      <c r="G44" s="16">
        <f>IF($K44="","",INDEX('Items'!$J$1:$J$202,$K44))</f>
        <v/>
      </c>
      <c r="H44" s="19">
        <f>IF($K44="","",INDEX('Balance'!$K$1:$K$202,$K44))</f>
        <v/>
      </c>
      <c r="I44" s="19">
        <f>IF($K44="","",G44*H44)</f>
        <v/>
      </c>
      <c r="K44" s="16">
        <f>IFERROR(MOD(SMALL('Balance'!$M$3:$M$202,35),10000),"")</f>
        <v/>
      </c>
    </row>
    <row r="45">
      <c r="A45" s="8">
        <f>IF($K45="","",INDEX('Balance'!$D$1:$D$202,$K45))</f>
        <v/>
      </c>
      <c r="B45" s="8">
        <f>IF($K45="","",INDEX('Balance'!$A$1:$A$202,$K45))</f>
        <v/>
      </c>
      <c r="C45" s="8">
        <f>IF($K45="","",INDEX('Balance'!$B$1:$B$202,$K45))</f>
        <v/>
      </c>
      <c r="D45" s="8">
        <f>IF($K45="","",INDEX('Balance'!$E$1:$E$202,$K45))</f>
        <v/>
      </c>
      <c r="E45" s="16">
        <f>IF($K45="","",INDEX('Balance'!$F$1:$F$202,$K45))</f>
        <v/>
      </c>
      <c r="F45" s="19">
        <f>IF($K45="","",INDEX('Balance'!$G$1:$G$202,$K45))</f>
        <v/>
      </c>
      <c r="G45" s="16">
        <f>IF($K45="","",INDEX('Items'!$J$1:$J$202,$K45))</f>
        <v/>
      </c>
      <c r="H45" s="19">
        <f>IF($K45="","",INDEX('Balance'!$K$1:$K$202,$K45))</f>
        <v/>
      </c>
      <c r="I45" s="19">
        <f>IF($K45="","",G45*H45)</f>
        <v/>
      </c>
      <c r="K45" s="16">
        <f>IFERROR(MOD(SMALL('Balance'!$M$3:$M$202,36),10000),"")</f>
        <v/>
      </c>
    </row>
    <row r="46">
      <c r="A46" s="8">
        <f>IF($K46="","",INDEX('Balance'!$D$1:$D$202,$K46))</f>
        <v/>
      </c>
      <c r="B46" s="8">
        <f>IF($K46="","",INDEX('Balance'!$A$1:$A$202,$K46))</f>
        <v/>
      </c>
      <c r="C46" s="8">
        <f>IF($K46="","",INDEX('Balance'!$B$1:$B$202,$K46))</f>
        <v/>
      </c>
      <c r="D46" s="8">
        <f>IF($K46="","",INDEX('Balance'!$E$1:$E$202,$K46))</f>
        <v/>
      </c>
      <c r="E46" s="16">
        <f>IF($K46="","",INDEX('Balance'!$F$1:$F$202,$K46))</f>
        <v/>
      </c>
      <c r="F46" s="19">
        <f>IF($K46="","",INDEX('Balance'!$G$1:$G$202,$K46))</f>
        <v/>
      </c>
      <c r="G46" s="16">
        <f>IF($K46="","",INDEX('Items'!$J$1:$J$202,$K46))</f>
        <v/>
      </c>
      <c r="H46" s="19">
        <f>IF($K46="","",INDEX('Balance'!$K$1:$K$202,$K46))</f>
        <v/>
      </c>
      <c r="I46" s="19">
        <f>IF($K46="","",G46*H46)</f>
        <v/>
      </c>
      <c r="K46" s="16">
        <f>IFERROR(MOD(SMALL('Balance'!$M$3:$M$202,37),10000),"")</f>
        <v/>
      </c>
    </row>
    <row r="47">
      <c r="A47" s="8">
        <f>IF($K47="","",INDEX('Balance'!$D$1:$D$202,$K47))</f>
        <v/>
      </c>
      <c r="B47" s="8">
        <f>IF($K47="","",INDEX('Balance'!$A$1:$A$202,$K47))</f>
        <v/>
      </c>
      <c r="C47" s="8">
        <f>IF($K47="","",INDEX('Balance'!$B$1:$B$202,$K47))</f>
        <v/>
      </c>
      <c r="D47" s="8">
        <f>IF($K47="","",INDEX('Balance'!$E$1:$E$202,$K47))</f>
        <v/>
      </c>
      <c r="E47" s="16">
        <f>IF($K47="","",INDEX('Balance'!$F$1:$F$202,$K47))</f>
        <v/>
      </c>
      <c r="F47" s="19">
        <f>IF($K47="","",INDEX('Balance'!$G$1:$G$202,$K47))</f>
        <v/>
      </c>
      <c r="G47" s="16">
        <f>IF($K47="","",INDEX('Items'!$J$1:$J$202,$K47))</f>
        <v/>
      </c>
      <c r="H47" s="19">
        <f>IF($K47="","",INDEX('Balance'!$K$1:$K$202,$K47))</f>
        <v/>
      </c>
      <c r="I47" s="19">
        <f>IF($K47="","",G47*H47)</f>
        <v/>
      </c>
      <c r="K47" s="16">
        <f>IFERROR(MOD(SMALL('Balance'!$M$3:$M$202,38),10000),"")</f>
        <v/>
      </c>
    </row>
    <row r="48">
      <c r="A48" s="8">
        <f>IF($K48="","",INDEX('Balance'!$D$1:$D$202,$K48))</f>
        <v/>
      </c>
      <c r="B48" s="8">
        <f>IF($K48="","",INDEX('Balance'!$A$1:$A$202,$K48))</f>
        <v/>
      </c>
      <c r="C48" s="8">
        <f>IF($K48="","",INDEX('Balance'!$B$1:$B$202,$K48))</f>
        <v/>
      </c>
      <c r="D48" s="8">
        <f>IF($K48="","",INDEX('Balance'!$E$1:$E$202,$K48))</f>
        <v/>
      </c>
      <c r="E48" s="16">
        <f>IF($K48="","",INDEX('Balance'!$F$1:$F$202,$K48))</f>
        <v/>
      </c>
      <c r="F48" s="19">
        <f>IF($K48="","",INDEX('Balance'!$G$1:$G$202,$K48))</f>
        <v/>
      </c>
      <c r="G48" s="16">
        <f>IF($K48="","",INDEX('Items'!$J$1:$J$202,$K48))</f>
        <v/>
      </c>
      <c r="H48" s="19">
        <f>IF($K48="","",INDEX('Balance'!$K$1:$K$202,$K48))</f>
        <v/>
      </c>
      <c r="I48" s="19">
        <f>IF($K48="","",G48*H48)</f>
        <v/>
      </c>
      <c r="K48" s="16">
        <f>IFERROR(MOD(SMALL('Balance'!$M$3:$M$202,39),10000),"")</f>
        <v/>
      </c>
    </row>
    <row r="49">
      <c r="A49" s="8">
        <f>IF($K49="","",INDEX('Balance'!$D$1:$D$202,$K49))</f>
        <v/>
      </c>
      <c r="B49" s="8">
        <f>IF($K49="","",INDEX('Balance'!$A$1:$A$202,$K49))</f>
        <v/>
      </c>
      <c r="C49" s="8">
        <f>IF($K49="","",INDEX('Balance'!$B$1:$B$202,$K49))</f>
        <v/>
      </c>
      <c r="D49" s="8">
        <f>IF($K49="","",INDEX('Balance'!$E$1:$E$202,$K49))</f>
        <v/>
      </c>
      <c r="E49" s="16">
        <f>IF($K49="","",INDEX('Balance'!$F$1:$F$202,$K49))</f>
        <v/>
      </c>
      <c r="F49" s="19">
        <f>IF($K49="","",INDEX('Balance'!$G$1:$G$202,$K49))</f>
        <v/>
      </c>
      <c r="G49" s="16">
        <f>IF($K49="","",INDEX('Items'!$J$1:$J$202,$K49))</f>
        <v/>
      </c>
      <c r="H49" s="19">
        <f>IF($K49="","",INDEX('Balance'!$K$1:$K$202,$K49))</f>
        <v/>
      </c>
      <c r="I49" s="19">
        <f>IF($K49="","",G49*H49)</f>
        <v/>
      </c>
      <c r="K49" s="16">
        <f>IFERROR(MOD(SMALL('Balance'!$M$3:$M$202,40),10000),"")</f>
        <v/>
      </c>
    </row>
    <row r="50">
      <c r="A50" s="8">
        <f>IF($K50="","",INDEX('Balance'!$D$1:$D$202,$K50))</f>
        <v/>
      </c>
      <c r="B50" s="8">
        <f>IF($K50="","",INDEX('Balance'!$A$1:$A$202,$K50))</f>
        <v/>
      </c>
      <c r="C50" s="8">
        <f>IF($K50="","",INDEX('Balance'!$B$1:$B$202,$K50))</f>
        <v/>
      </c>
      <c r="D50" s="8">
        <f>IF($K50="","",INDEX('Balance'!$E$1:$E$202,$K50))</f>
        <v/>
      </c>
      <c r="E50" s="16">
        <f>IF($K50="","",INDEX('Balance'!$F$1:$F$202,$K50))</f>
        <v/>
      </c>
      <c r="F50" s="19">
        <f>IF($K50="","",INDEX('Balance'!$G$1:$G$202,$K50))</f>
        <v/>
      </c>
      <c r="G50" s="16">
        <f>IF($K50="","",INDEX('Items'!$J$1:$J$202,$K50))</f>
        <v/>
      </c>
      <c r="H50" s="19">
        <f>IF($K50="","",INDEX('Balance'!$K$1:$K$202,$K50))</f>
        <v/>
      </c>
      <c r="I50" s="19">
        <f>IF($K50="","",G50*H50)</f>
        <v/>
      </c>
      <c r="K50" s="16">
        <f>IFERROR(MOD(SMALL('Balance'!$M$3:$M$202,41),10000),"")</f>
        <v/>
      </c>
    </row>
    <row r="51">
      <c r="A51" s="8">
        <f>IF($K51="","",INDEX('Balance'!$D$1:$D$202,$K51))</f>
        <v/>
      </c>
      <c r="B51" s="8">
        <f>IF($K51="","",INDEX('Balance'!$A$1:$A$202,$K51))</f>
        <v/>
      </c>
      <c r="C51" s="8">
        <f>IF($K51="","",INDEX('Balance'!$B$1:$B$202,$K51))</f>
        <v/>
      </c>
      <c r="D51" s="8">
        <f>IF($K51="","",INDEX('Balance'!$E$1:$E$202,$K51))</f>
        <v/>
      </c>
      <c r="E51" s="16">
        <f>IF($K51="","",INDEX('Balance'!$F$1:$F$202,$K51))</f>
        <v/>
      </c>
      <c r="F51" s="19">
        <f>IF($K51="","",INDEX('Balance'!$G$1:$G$202,$K51))</f>
        <v/>
      </c>
      <c r="G51" s="16">
        <f>IF($K51="","",INDEX('Items'!$J$1:$J$202,$K51))</f>
        <v/>
      </c>
      <c r="H51" s="19">
        <f>IF($K51="","",INDEX('Balance'!$K$1:$K$202,$K51))</f>
        <v/>
      </c>
      <c r="I51" s="19">
        <f>IF($K51="","",G51*H51)</f>
        <v/>
      </c>
      <c r="K51" s="16">
        <f>IFERROR(MOD(SMALL('Balance'!$M$3:$M$202,42),10000),"")</f>
        <v/>
      </c>
    </row>
    <row r="52">
      <c r="A52" s="8">
        <f>IF($K52="","",INDEX('Balance'!$D$1:$D$202,$K52))</f>
        <v/>
      </c>
      <c r="B52" s="8">
        <f>IF($K52="","",INDEX('Balance'!$A$1:$A$202,$K52))</f>
        <v/>
      </c>
      <c r="C52" s="8">
        <f>IF($K52="","",INDEX('Balance'!$B$1:$B$202,$K52))</f>
        <v/>
      </c>
      <c r="D52" s="8">
        <f>IF($K52="","",INDEX('Balance'!$E$1:$E$202,$K52))</f>
        <v/>
      </c>
      <c r="E52" s="16">
        <f>IF($K52="","",INDEX('Balance'!$F$1:$F$202,$K52))</f>
        <v/>
      </c>
      <c r="F52" s="19">
        <f>IF($K52="","",INDEX('Balance'!$G$1:$G$202,$K52))</f>
        <v/>
      </c>
      <c r="G52" s="16">
        <f>IF($K52="","",INDEX('Items'!$J$1:$J$202,$K52))</f>
        <v/>
      </c>
      <c r="H52" s="19">
        <f>IF($K52="","",INDEX('Balance'!$K$1:$K$202,$K52))</f>
        <v/>
      </c>
      <c r="I52" s="19">
        <f>IF($K52="","",G52*H52)</f>
        <v/>
      </c>
      <c r="K52" s="16">
        <f>IFERROR(MOD(SMALL('Balance'!$M$3:$M$202,43),10000),"")</f>
        <v/>
      </c>
    </row>
    <row r="53">
      <c r="A53" s="8">
        <f>IF($K53="","",INDEX('Balance'!$D$1:$D$202,$K53))</f>
        <v/>
      </c>
      <c r="B53" s="8">
        <f>IF($K53="","",INDEX('Balance'!$A$1:$A$202,$K53))</f>
        <v/>
      </c>
      <c r="C53" s="8">
        <f>IF($K53="","",INDEX('Balance'!$B$1:$B$202,$K53))</f>
        <v/>
      </c>
      <c r="D53" s="8">
        <f>IF($K53="","",INDEX('Balance'!$E$1:$E$202,$K53))</f>
        <v/>
      </c>
      <c r="E53" s="16">
        <f>IF($K53="","",INDEX('Balance'!$F$1:$F$202,$K53))</f>
        <v/>
      </c>
      <c r="F53" s="19">
        <f>IF($K53="","",INDEX('Balance'!$G$1:$G$202,$K53))</f>
        <v/>
      </c>
      <c r="G53" s="16">
        <f>IF($K53="","",INDEX('Items'!$J$1:$J$202,$K53))</f>
        <v/>
      </c>
      <c r="H53" s="19">
        <f>IF($K53="","",INDEX('Balance'!$K$1:$K$202,$K53))</f>
        <v/>
      </c>
      <c r="I53" s="19">
        <f>IF($K53="","",G53*H53)</f>
        <v/>
      </c>
      <c r="K53" s="16">
        <f>IFERROR(MOD(SMALL('Balance'!$M$3:$M$202,44),10000),"")</f>
        <v/>
      </c>
    </row>
    <row r="54">
      <c r="A54" s="8">
        <f>IF($K54="","",INDEX('Balance'!$D$1:$D$202,$K54))</f>
        <v/>
      </c>
      <c r="B54" s="8">
        <f>IF($K54="","",INDEX('Balance'!$A$1:$A$202,$K54))</f>
        <v/>
      </c>
      <c r="C54" s="8">
        <f>IF($K54="","",INDEX('Balance'!$B$1:$B$202,$K54))</f>
        <v/>
      </c>
      <c r="D54" s="8">
        <f>IF($K54="","",INDEX('Balance'!$E$1:$E$202,$K54))</f>
        <v/>
      </c>
      <c r="E54" s="16">
        <f>IF($K54="","",INDEX('Balance'!$F$1:$F$202,$K54))</f>
        <v/>
      </c>
      <c r="F54" s="19">
        <f>IF($K54="","",INDEX('Balance'!$G$1:$G$202,$K54))</f>
        <v/>
      </c>
      <c r="G54" s="16">
        <f>IF($K54="","",INDEX('Items'!$J$1:$J$202,$K54))</f>
        <v/>
      </c>
      <c r="H54" s="19">
        <f>IF($K54="","",INDEX('Balance'!$K$1:$K$202,$K54))</f>
        <v/>
      </c>
      <c r="I54" s="19">
        <f>IF($K54="","",G54*H54)</f>
        <v/>
      </c>
      <c r="K54" s="16">
        <f>IFERROR(MOD(SMALL('Balance'!$M$3:$M$202,45),10000),"")</f>
        <v/>
      </c>
    </row>
    <row r="55">
      <c r="A55" s="8">
        <f>IF($K55="","",INDEX('Balance'!$D$1:$D$202,$K55))</f>
        <v/>
      </c>
      <c r="B55" s="8">
        <f>IF($K55="","",INDEX('Balance'!$A$1:$A$202,$K55))</f>
        <v/>
      </c>
      <c r="C55" s="8">
        <f>IF($K55="","",INDEX('Balance'!$B$1:$B$202,$K55))</f>
        <v/>
      </c>
      <c r="D55" s="8">
        <f>IF($K55="","",INDEX('Balance'!$E$1:$E$202,$K55))</f>
        <v/>
      </c>
      <c r="E55" s="16">
        <f>IF($K55="","",INDEX('Balance'!$F$1:$F$202,$K55))</f>
        <v/>
      </c>
      <c r="F55" s="19">
        <f>IF($K55="","",INDEX('Balance'!$G$1:$G$202,$K55))</f>
        <v/>
      </c>
      <c r="G55" s="16">
        <f>IF($K55="","",INDEX('Items'!$J$1:$J$202,$K55))</f>
        <v/>
      </c>
      <c r="H55" s="19">
        <f>IF($K55="","",INDEX('Balance'!$K$1:$K$202,$K55))</f>
        <v/>
      </c>
      <c r="I55" s="19">
        <f>IF($K55="","",G55*H55)</f>
        <v/>
      </c>
      <c r="K55" s="16">
        <f>IFERROR(MOD(SMALL('Balance'!$M$3:$M$202,46),10000),"")</f>
        <v/>
      </c>
    </row>
    <row r="56">
      <c r="A56" s="8">
        <f>IF($K56="","",INDEX('Balance'!$D$1:$D$202,$K56))</f>
        <v/>
      </c>
      <c r="B56" s="8">
        <f>IF($K56="","",INDEX('Balance'!$A$1:$A$202,$K56))</f>
        <v/>
      </c>
      <c r="C56" s="8">
        <f>IF($K56="","",INDEX('Balance'!$B$1:$B$202,$K56))</f>
        <v/>
      </c>
      <c r="D56" s="8">
        <f>IF($K56="","",INDEX('Balance'!$E$1:$E$202,$K56))</f>
        <v/>
      </c>
      <c r="E56" s="16">
        <f>IF($K56="","",INDEX('Balance'!$F$1:$F$202,$K56))</f>
        <v/>
      </c>
      <c r="F56" s="19">
        <f>IF($K56="","",INDEX('Balance'!$G$1:$G$202,$K56))</f>
        <v/>
      </c>
      <c r="G56" s="16">
        <f>IF($K56="","",INDEX('Items'!$J$1:$J$202,$K56))</f>
        <v/>
      </c>
      <c r="H56" s="19">
        <f>IF($K56="","",INDEX('Balance'!$K$1:$K$202,$K56))</f>
        <v/>
      </c>
      <c r="I56" s="19">
        <f>IF($K56="","",G56*H56)</f>
        <v/>
      </c>
      <c r="K56" s="16">
        <f>IFERROR(MOD(SMALL('Balance'!$M$3:$M$202,47),10000),"")</f>
        <v/>
      </c>
    </row>
    <row r="57">
      <c r="A57" s="8">
        <f>IF($K57="","",INDEX('Balance'!$D$1:$D$202,$K57))</f>
        <v/>
      </c>
      <c r="B57" s="8">
        <f>IF($K57="","",INDEX('Balance'!$A$1:$A$202,$K57))</f>
        <v/>
      </c>
      <c r="C57" s="8">
        <f>IF($K57="","",INDEX('Balance'!$B$1:$B$202,$K57))</f>
        <v/>
      </c>
      <c r="D57" s="8">
        <f>IF($K57="","",INDEX('Balance'!$E$1:$E$202,$K57))</f>
        <v/>
      </c>
      <c r="E57" s="16">
        <f>IF($K57="","",INDEX('Balance'!$F$1:$F$202,$K57))</f>
        <v/>
      </c>
      <c r="F57" s="19">
        <f>IF($K57="","",INDEX('Balance'!$G$1:$G$202,$K57))</f>
        <v/>
      </c>
      <c r="G57" s="16">
        <f>IF($K57="","",INDEX('Items'!$J$1:$J$202,$K57))</f>
        <v/>
      </c>
      <c r="H57" s="19">
        <f>IF($K57="","",INDEX('Balance'!$K$1:$K$202,$K57))</f>
        <v/>
      </c>
      <c r="I57" s="19">
        <f>IF($K57="","",G57*H57)</f>
        <v/>
      </c>
      <c r="K57" s="16">
        <f>IFERROR(MOD(SMALL('Balance'!$M$3:$M$202,48),10000),"")</f>
        <v/>
      </c>
    </row>
    <row r="58">
      <c r="A58" s="8">
        <f>IF($K58="","",INDEX('Balance'!$D$1:$D$202,$K58))</f>
        <v/>
      </c>
      <c r="B58" s="8">
        <f>IF($K58="","",INDEX('Balance'!$A$1:$A$202,$K58))</f>
        <v/>
      </c>
      <c r="C58" s="8">
        <f>IF($K58="","",INDEX('Balance'!$B$1:$B$202,$K58))</f>
        <v/>
      </c>
      <c r="D58" s="8">
        <f>IF($K58="","",INDEX('Balance'!$E$1:$E$202,$K58))</f>
        <v/>
      </c>
      <c r="E58" s="16">
        <f>IF($K58="","",INDEX('Balance'!$F$1:$F$202,$K58))</f>
        <v/>
      </c>
      <c r="F58" s="19">
        <f>IF($K58="","",INDEX('Balance'!$G$1:$G$202,$K58))</f>
        <v/>
      </c>
      <c r="G58" s="16">
        <f>IF($K58="","",INDEX('Items'!$J$1:$J$202,$K58))</f>
        <v/>
      </c>
      <c r="H58" s="19">
        <f>IF($K58="","",INDEX('Balance'!$K$1:$K$202,$K58))</f>
        <v/>
      </c>
      <c r="I58" s="19">
        <f>IF($K58="","",G58*H58)</f>
        <v/>
      </c>
      <c r="K58" s="16">
        <f>IFERROR(MOD(SMALL('Balance'!$M$3:$M$202,49),10000),"")</f>
        <v/>
      </c>
    </row>
    <row r="59">
      <c r="A59" s="8">
        <f>IF($K59="","",INDEX('Balance'!$D$1:$D$202,$K59))</f>
        <v/>
      </c>
      <c r="B59" s="8">
        <f>IF($K59="","",INDEX('Balance'!$A$1:$A$202,$K59))</f>
        <v/>
      </c>
      <c r="C59" s="8">
        <f>IF($K59="","",INDEX('Balance'!$B$1:$B$202,$K59))</f>
        <v/>
      </c>
      <c r="D59" s="8">
        <f>IF($K59="","",INDEX('Balance'!$E$1:$E$202,$K59))</f>
        <v/>
      </c>
      <c r="E59" s="16">
        <f>IF($K59="","",INDEX('Balance'!$F$1:$F$202,$K59))</f>
        <v/>
      </c>
      <c r="F59" s="19">
        <f>IF($K59="","",INDEX('Balance'!$G$1:$G$202,$K59))</f>
        <v/>
      </c>
      <c r="G59" s="16">
        <f>IF($K59="","",INDEX('Items'!$J$1:$J$202,$K59))</f>
        <v/>
      </c>
      <c r="H59" s="19">
        <f>IF($K59="","",INDEX('Balance'!$K$1:$K$202,$K59))</f>
        <v/>
      </c>
      <c r="I59" s="19">
        <f>IF($K59="","",G59*H59)</f>
        <v/>
      </c>
      <c r="K59" s="16">
        <f>IFERROR(MOD(SMALL('Balance'!$M$3:$M$202,50),10000),"")</f>
        <v/>
      </c>
    </row>
    <row r="60">
      <c r="A60" s="8">
        <f>IF($K60="","",INDEX('Balance'!$D$1:$D$202,$K60))</f>
        <v/>
      </c>
      <c r="B60" s="8">
        <f>IF($K60="","",INDEX('Balance'!$A$1:$A$202,$K60))</f>
        <v/>
      </c>
      <c r="C60" s="8">
        <f>IF($K60="","",INDEX('Balance'!$B$1:$B$202,$K60))</f>
        <v/>
      </c>
      <c r="D60" s="8">
        <f>IF($K60="","",INDEX('Balance'!$E$1:$E$202,$K60))</f>
        <v/>
      </c>
      <c r="E60" s="16">
        <f>IF($K60="","",INDEX('Balance'!$F$1:$F$202,$K60))</f>
        <v/>
      </c>
      <c r="F60" s="19">
        <f>IF($K60="","",INDEX('Balance'!$G$1:$G$202,$K60))</f>
        <v/>
      </c>
      <c r="G60" s="16">
        <f>IF($K60="","",INDEX('Items'!$J$1:$J$202,$K60))</f>
        <v/>
      </c>
      <c r="H60" s="19">
        <f>IF($K60="","",INDEX('Balance'!$K$1:$K$202,$K60))</f>
        <v/>
      </c>
      <c r="I60" s="19">
        <f>IF($K60="","",G60*H60)</f>
        <v/>
      </c>
      <c r="K60" s="16">
        <f>IFERROR(MOD(SMALL('Balance'!$M$3:$M$202,51),10000),"")</f>
        <v/>
      </c>
    </row>
    <row r="61">
      <c r="A61" s="8">
        <f>IF($K61="","",INDEX('Balance'!$D$1:$D$202,$K61))</f>
        <v/>
      </c>
      <c r="B61" s="8">
        <f>IF($K61="","",INDEX('Balance'!$A$1:$A$202,$K61))</f>
        <v/>
      </c>
      <c r="C61" s="8">
        <f>IF($K61="","",INDEX('Balance'!$B$1:$B$202,$K61))</f>
        <v/>
      </c>
      <c r="D61" s="8">
        <f>IF($K61="","",INDEX('Balance'!$E$1:$E$202,$K61))</f>
        <v/>
      </c>
      <c r="E61" s="16">
        <f>IF($K61="","",INDEX('Balance'!$F$1:$F$202,$K61))</f>
        <v/>
      </c>
      <c r="F61" s="19">
        <f>IF($K61="","",INDEX('Balance'!$G$1:$G$202,$K61))</f>
        <v/>
      </c>
      <c r="G61" s="16">
        <f>IF($K61="","",INDEX('Items'!$J$1:$J$202,$K61))</f>
        <v/>
      </c>
      <c r="H61" s="19">
        <f>IF($K61="","",INDEX('Balance'!$K$1:$K$202,$K61))</f>
        <v/>
      </c>
      <c r="I61" s="19">
        <f>IF($K61="","",G61*H61)</f>
        <v/>
      </c>
      <c r="K61" s="16">
        <f>IFERROR(MOD(SMALL('Balance'!$M$3:$M$202,52),10000),"")</f>
        <v/>
      </c>
    </row>
    <row r="62">
      <c r="A62" s="8">
        <f>IF($K62="","",INDEX('Balance'!$D$1:$D$202,$K62))</f>
        <v/>
      </c>
      <c r="B62" s="8">
        <f>IF($K62="","",INDEX('Balance'!$A$1:$A$202,$K62))</f>
        <v/>
      </c>
      <c r="C62" s="8">
        <f>IF($K62="","",INDEX('Balance'!$B$1:$B$202,$K62))</f>
        <v/>
      </c>
      <c r="D62" s="8">
        <f>IF($K62="","",INDEX('Balance'!$E$1:$E$202,$K62))</f>
        <v/>
      </c>
      <c r="E62" s="16">
        <f>IF($K62="","",INDEX('Balance'!$F$1:$F$202,$K62))</f>
        <v/>
      </c>
      <c r="F62" s="19">
        <f>IF($K62="","",INDEX('Balance'!$G$1:$G$202,$K62))</f>
        <v/>
      </c>
      <c r="G62" s="16">
        <f>IF($K62="","",INDEX('Items'!$J$1:$J$202,$K62))</f>
        <v/>
      </c>
      <c r="H62" s="19">
        <f>IF($K62="","",INDEX('Balance'!$K$1:$K$202,$K62))</f>
        <v/>
      </c>
      <c r="I62" s="19">
        <f>IF($K62="","",G62*H62)</f>
        <v/>
      </c>
      <c r="K62" s="16">
        <f>IFERROR(MOD(SMALL('Balance'!$M$3:$M$202,53),10000),"")</f>
        <v/>
      </c>
    </row>
    <row r="63">
      <c r="A63" s="8">
        <f>IF($K63="","",INDEX('Balance'!$D$1:$D$202,$K63))</f>
        <v/>
      </c>
      <c r="B63" s="8">
        <f>IF($K63="","",INDEX('Balance'!$A$1:$A$202,$K63))</f>
        <v/>
      </c>
      <c r="C63" s="8">
        <f>IF($K63="","",INDEX('Balance'!$B$1:$B$202,$K63))</f>
        <v/>
      </c>
      <c r="D63" s="8">
        <f>IF($K63="","",INDEX('Balance'!$E$1:$E$202,$K63))</f>
        <v/>
      </c>
      <c r="E63" s="16">
        <f>IF($K63="","",INDEX('Balance'!$F$1:$F$202,$K63))</f>
        <v/>
      </c>
      <c r="F63" s="19">
        <f>IF($K63="","",INDEX('Balance'!$G$1:$G$202,$K63))</f>
        <v/>
      </c>
      <c r="G63" s="16">
        <f>IF($K63="","",INDEX('Items'!$J$1:$J$202,$K63))</f>
        <v/>
      </c>
      <c r="H63" s="19">
        <f>IF($K63="","",INDEX('Balance'!$K$1:$K$202,$K63))</f>
        <v/>
      </c>
      <c r="I63" s="19">
        <f>IF($K63="","",G63*H63)</f>
        <v/>
      </c>
      <c r="K63" s="16">
        <f>IFERROR(MOD(SMALL('Balance'!$M$3:$M$202,54),10000),"")</f>
        <v/>
      </c>
    </row>
    <row r="64">
      <c r="A64" s="8">
        <f>IF($K64="","",INDEX('Balance'!$D$1:$D$202,$K64))</f>
        <v/>
      </c>
      <c r="B64" s="8">
        <f>IF($K64="","",INDEX('Balance'!$A$1:$A$202,$K64))</f>
        <v/>
      </c>
      <c r="C64" s="8">
        <f>IF($K64="","",INDEX('Balance'!$B$1:$B$202,$K64))</f>
        <v/>
      </c>
      <c r="D64" s="8">
        <f>IF($K64="","",INDEX('Balance'!$E$1:$E$202,$K64))</f>
        <v/>
      </c>
      <c r="E64" s="16">
        <f>IF($K64="","",INDEX('Balance'!$F$1:$F$202,$K64))</f>
        <v/>
      </c>
      <c r="F64" s="19">
        <f>IF($K64="","",INDEX('Balance'!$G$1:$G$202,$K64))</f>
        <v/>
      </c>
      <c r="G64" s="16">
        <f>IF($K64="","",INDEX('Items'!$J$1:$J$202,$K64))</f>
        <v/>
      </c>
      <c r="H64" s="19">
        <f>IF($K64="","",INDEX('Balance'!$K$1:$K$202,$K64))</f>
        <v/>
      </c>
      <c r="I64" s="19">
        <f>IF($K64="","",G64*H64)</f>
        <v/>
      </c>
      <c r="K64" s="16">
        <f>IFERROR(MOD(SMALL('Balance'!$M$3:$M$202,55),10000),"")</f>
        <v/>
      </c>
    </row>
    <row r="65">
      <c r="A65" s="8">
        <f>IF($K65="","",INDEX('Balance'!$D$1:$D$202,$K65))</f>
        <v/>
      </c>
      <c r="B65" s="8">
        <f>IF($K65="","",INDEX('Balance'!$A$1:$A$202,$K65))</f>
        <v/>
      </c>
      <c r="C65" s="8">
        <f>IF($K65="","",INDEX('Balance'!$B$1:$B$202,$K65))</f>
        <v/>
      </c>
      <c r="D65" s="8">
        <f>IF($K65="","",INDEX('Balance'!$E$1:$E$202,$K65))</f>
        <v/>
      </c>
      <c r="E65" s="16">
        <f>IF($K65="","",INDEX('Balance'!$F$1:$F$202,$K65))</f>
        <v/>
      </c>
      <c r="F65" s="19">
        <f>IF($K65="","",INDEX('Balance'!$G$1:$G$202,$K65))</f>
        <v/>
      </c>
      <c r="G65" s="16">
        <f>IF($K65="","",INDEX('Items'!$J$1:$J$202,$K65))</f>
        <v/>
      </c>
      <c r="H65" s="19">
        <f>IF($K65="","",INDEX('Balance'!$K$1:$K$202,$K65))</f>
        <v/>
      </c>
      <c r="I65" s="19">
        <f>IF($K65="","",G65*H65)</f>
        <v/>
      </c>
      <c r="K65" s="16">
        <f>IFERROR(MOD(SMALL('Balance'!$M$3:$M$202,56),10000),"")</f>
        <v/>
      </c>
    </row>
    <row r="66">
      <c r="A66" s="8">
        <f>IF($K66="","",INDEX('Balance'!$D$1:$D$202,$K66))</f>
        <v/>
      </c>
      <c r="B66" s="8">
        <f>IF($K66="","",INDEX('Balance'!$A$1:$A$202,$K66))</f>
        <v/>
      </c>
      <c r="C66" s="8">
        <f>IF($K66="","",INDEX('Balance'!$B$1:$B$202,$K66))</f>
        <v/>
      </c>
      <c r="D66" s="8">
        <f>IF($K66="","",INDEX('Balance'!$E$1:$E$202,$K66))</f>
        <v/>
      </c>
      <c r="E66" s="16">
        <f>IF($K66="","",INDEX('Balance'!$F$1:$F$202,$K66))</f>
        <v/>
      </c>
      <c r="F66" s="19">
        <f>IF($K66="","",INDEX('Balance'!$G$1:$G$202,$K66))</f>
        <v/>
      </c>
      <c r="G66" s="16">
        <f>IF($K66="","",INDEX('Items'!$J$1:$J$202,$K66))</f>
        <v/>
      </c>
      <c r="H66" s="19">
        <f>IF($K66="","",INDEX('Balance'!$K$1:$K$202,$K66))</f>
        <v/>
      </c>
      <c r="I66" s="19">
        <f>IF($K66="","",G66*H66)</f>
        <v/>
      </c>
      <c r="K66" s="16">
        <f>IFERROR(MOD(SMALL('Balance'!$M$3:$M$202,57),10000),"")</f>
        <v/>
      </c>
    </row>
    <row r="67">
      <c r="A67" s="8">
        <f>IF($K67="","",INDEX('Balance'!$D$1:$D$202,$K67))</f>
        <v/>
      </c>
      <c r="B67" s="8">
        <f>IF($K67="","",INDEX('Balance'!$A$1:$A$202,$K67))</f>
        <v/>
      </c>
      <c r="C67" s="8">
        <f>IF($K67="","",INDEX('Balance'!$B$1:$B$202,$K67))</f>
        <v/>
      </c>
      <c r="D67" s="8">
        <f>IF($K67="","",INDEX('Balance'!$E$1:$E$202,$K67))</f>
        <v/>
      </c>
      <c r="E67" s="16">
        <f>IF($K67="","",INDEX('Balance'!$F$1:$F$202,$K67))</f>
        <v/>
      </c>
      <c r="F67" s="19">
        <f>IF($K67="","",INDEX('Balance'!$G$1:$G$202,$K67))</f>
        <v/>
      </c>
      <c r="G67" s="16">
        <f>IF($K67="","",INDEX('Items'!$J$1:$J$202,$K67))</f>
        <v/>
      </c>
      <c r="H67" s="19">
        <f>IF($K67="","",INDEX('Balance'!$K$1:$K$202,$K67))</f>
        <v/>
      </c>
      <c r="I67" s="19">
        <f>IF($K67="","",G67*H67)</f>
        <v/>
      </c>
      <c r="K67" s="16">
        <f>IFERROR(MOD(SMALL('Balance'!$M$3:$M$202,58),10000),"")</f>
        <v/>
      </c>
    </row>
    <row r="68">
      <c r="A68" s="8">
        <f>IF($K68="","",INDEX('Balance'!$D$1:$D$202,$K68))</f>
        <v/>
      </c>
      <c r="B68" s="8">
        <f>IF($K68="","",INDEX('Balance'!$A$1:$A$202,$K68))</f>
        <v/>
      </c>
      <c r="C68" s="8">
        <f>IF($K68="","",INDEX('Balance'!$B$1:$B$202,$K68))</f>
        <v/>
      </c>
      <c r="D68" s="8">
        <f>IF($K68="","",INDEX('Balance'!$E$1:$E$202,$K68))</f>
        <v/>
      </c>
      <c r="E68" s="16">
        <f>IF($K68="","",INDEX('Balance'!$F$1:$F$202,$K68))</f>
        <v/>
      </c>
      <c r="F68" s="19">
        <f>IF($K68="","",INDEX('Balance'!$G$1:$G$202,$K68))</f>
        <v/>
      </c>
      <c r="G68" s="16">
        <f>IF($K68="","",INDEX('Items'!$J$1:$J$202,$K68))</f>
        <v/>
      </c>
      <c r="H68" s="19">
        <f>IF($K68="","",INDEX('Balance'!$K$1:$K$202,$K68))</f>
        <v/>
      </c>
      <c r="I68" s="19">
        <f>IF($K68="","",G68*H68)</f>
        <v/>
      </c>
      <c r="K68" s="16">
        <f>IFERROR(MOD(SMALL('Balance'!$M$3:$M$202,59),10000),"")</f>
        <v/>
      </c>
    </row>
    <row r="69">
      <c r="A69" s="8">
        <f>IF($K69="","",INDEX('Balance'!$D$1:$D$202,$K69))</f>
        <v/>
      </c>
      <c r="B69" s="8">
        <f>IF($K69="","",INDEX('Balance'!$A$1:$A$202,$K69))</f>
        <v/>
      </c>
      <c r="C69" s="8">
        <f>IF($K69="","",INDEX('Balance'!$B$1:$B$202,$K69))</f>
        <v/>
      </c>
      <c r="D69" s="8">
        <f>IF($K69="","",INDEX('Balance'!$E$1:$E$202,$K69))</f>
        <v/>
      </c>
      <c r="E69" s="16">
        <f>IF($K69="","",INDEX('Balance'!$F$1:$F$202,$K69))</f>
        <v/>
      </c>
      <c r="F69" s="19">
        <f>IF($K69="","",INDEX('Balance'!$G$1:$G$202,$K69))</f>
        <v/>
      </c>
      <c r="G69" s="16">
        <f>IF($K69="","",INDEX('Items'!$J$1:$J$202,$K69))</f>
        <v/>
      </c>
      <c r="H69" s="19">
        <f>IF($K69="","",INDEX('Balance'!$K$1:$K$202,$K69))</f>
        <v/>
      </c>
      <c r="I69" s="19">
        <f>IF($K69="","",G69*H69)</f>
        <v/>
      </c>
      <c r="K69" s="16">
        <f>IFERROR(MOD(SMALL('Balance'!$M$3:$M$202,60),10000),"")</f>
        <v/>
      </c>
    </row>
    <row r="70">
      <c r="H70" s="3" t="inlineStr">
        <is>
          <t>Total</t>
        </is>
      </c>
      <c r="I70" s="20">
        <f>SUM(I10:I69)</f>
        <v/>
      </c>
    </row>
    <row r="72">
      <c r="A72" s="11" t="inlineStr">
        <is>
          <t>Prepared by: ..............................</t>
        </is>
      </c>
      <c r="E72" s="11" t="inlineStr">
        <is>
          <t>Approved by: ..............................</t>
        </is>
      </c>
    </row>
    <row r="75">
      <c r="A75" s="10" t="inlineStr">
        <is>
          <t>Medicolize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">
    <mergeCell ref="A75:I75"/>
    <mergeCell ref="B4:D4"/>
  </mergeCells>
  <dataValidations count="1">
    <dataValidation sqref="B4" showDropDown="0" showInputMessage="0" showErrorMessage="0" allowBlank="1" errorTitle="Not in the list" error="Pick from the list." type="list">
      <formula1>=Suppliers</formula1>
    </dataValidation>
  </dataValidations>
  <hyperlinks>
    <hyperlink xmlns:r="http://schemas.openxmlformats.org/officeDocument/2006/relationships" ref="A75" r:id="rId1"/>
  </hyperlinks>
  <pageMargins left="0.75" right="0.75" top="1" bottom="1" header="0.5" footer="0.5"/>
  <pageSetup paperSize="9" fitToHeight="0" fitToWidth="1"/>
</worksheet>
</file>

<file path=xl/worksheets/sheet8.xml><?xml version="1.0" encoding="utf-8"?>
<worksheet xmlns="http://schemas.openxmlformats.org/spreadsheetml/2006/main">
  <sheetPr>
    <tabColor rgb="00B42318"/>
    <outlinePr summaryBelow="1" summaryRight="1"/>
    <pageSetUpPr fitToPage="1"/>
  </sheetPr>
  <dimension ref="A1:I304"/>
  <sheetViews>
    <sheetView showGridLines="0" rightToLeft="0" tabSelected="0" zoomScale="11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1" customWidth="1" min="3" max="3"/>
    <col width="30" customWidth="1" min="4" max="4"/>
    <col width="12" customWidth="1" min="5" max="5"/>
    <col width="14" customWidth="1" min="6" max="6"/>
    <col width="10" customWidth="1" min="7" max="7"/>
    <col width="3" customWidth="1" min="8" max="8"/>
    <col width="10" customWidth="1" min="9" max="9"/>
  </cols>
  <sheetData>
    <row r="1">
      <c r="A1" s="17" t="inlineStr">
        <is>
          <t>Batches by expiry date</t>
        </is>
      </c>
    </row>
    <row r="2">
      <c r="A2" s="2" t="inlineStr">
        <is>
          <t>Only batches with stock left. Red: under 30 days. Amber: under 90 days (set on Settings).</t>
        </is>
      </c>
    </row>
    <row r="4" ht="30" customHeight="1">
      <c r="A4" s="7" t="inlineStr">
        <is>
          <t>Expiry</t>
        </is>
      </c>
      <c r="B4" s="7" t="inlineStr">
        <is>
          <t>Days left</t>
        </is>
      </c>
      <c r="C4" s="7" t="inlineStr">
        <is>
          <t>Code</t>
        </is>
      </c>
      <c r="D4" s="7" t="inlineStr">
        <is>
          <t>Item</t>
        </is>
      </c>
      <c r="E4" s="7" t="inlineStr">
        <is>
          <t>Batch no.</t>
        </is>
      </c>
      <c r="F4" s="7" t="inlineStr">
        <is>
          <t>Branch</t>
        </is>
      </c>
      <c r="G4" s="7" t="inlineStr">
        <is>
          <t>Remaining</t>
        </is>
      </c>
      <c r="I4" s="7" t="inlineStr">
        <is>
          <t>Source row</t>
        </is>
      </c>
    </row>
    <row r="5">
      <c r="A5" s="18">
        <f>IF($I5="","",INDEX('Batches'!$D$1:$D$302,$I5))</f>
        <v/>
      </c>
      <c r="B5" s="16">
        <f>IF($I5="","",INDEX('Batches'!$I$1:$I$302,$I5))</f>
        <v/>
      </c>
      <c r="C5" s="8">
        <f>IF($I5="","",INDEX('Batches'!$A$1:$A$302,$I5))</f>
        <v/>
      </c>
      <c r="D5" s="8">
        <f>IF($I5="","",INDEX('Batches'!$B$1:$B$302,$I5))</f>
        <v/>
      </c>
      <c r="E5" s="8">
        <f>IF($I5="","",INDEX('Batches'!$C$1:$C$302,$I5))</f>
        <v/>
      </c>
      <c r="F5" s="8">
        <f>IF($I5="","",INDEX('Batches'!$G$1:$G$302,$I5))</f>
        <v/>
      </c>
      <c r="G5" s="16">
        <f>IF($I5="","",INDEX('Batches'!$H$1:$H$302,$I5))</f>
        <v/>
      </c>
      <c r="I5" s="16">
        <f>IFERROR(ROUND(MOD(SMALL('Batches'!$J$3:$J$302,1),1)*100000,0),"")</f>
        <v/>
      </c>
    </row>
    <row r="6">
      <c r="A6" s="18">
        <f>IF($I6="","",INDEX('Batches'!$D$1:$D$302,$I6))</f>
        <v/>
      </c>
      <c r="B6" s="16">
        <f>IF($I6="","",INDEX('Batches'!$I$1:$I$302,$I6))</f>
        <v/>
      </c>
      <c r="C6" s="8">
        <f>IF($I6="","",INDEX('Batches'!$A$1:$A$302,$I6))</f>
        <v/>
      </c>
      <c r="D6" s="8">
        <f>IF($I6="","",INDEX('Batches'!$B$1:$B$302,$I6))</f>
        <v/>
      </c>
      <c r="E6" s="8">
        <f>IF($I6="","",INDEX('Batches'!$C$1:$C$302,$I6))</f>
        <v/>
      </c>
      <c r="F6" s="8">
        <f>IF($I6="","",INDEX('Batches'!$G$1:$G$302,$I6))</f>
        <v/>
      </c>
      <c r="G6" s="16">
        <f>IF($I6="","",INDEX('Batches'!$H$1:$H$302,$I6))</f>
        <v/>
      </c>
      <c r="I6" s="16">
        <f>IFERROR(ROUND(MOD(SMALL('Batches'!$J$3:$J$302,2),1)*100000,0),"")</f>
        <v/>
      </c>
    </row>
    <row r="7">
      <c r="A7" s="18">
        <f>IF($I7="","",INDEX('Batches'!$D$1:$D$302,$I7))</f>
        <v/>
      </c>
      <c r="B7" s="16">
        <f>IF($I7="","",INDEX('Batches'!$I$1:$I$302,$I7))</f>
        <v/>
      </c>
      <c r="C7" s="8">
        <f>IF($I7="","",INDEX('Batches'!$A$1:$A$302,$I7))</f>
        <v/>
      </c>
      <c r="D7" s="8">
        <f>IF($I7="","",INDEX('Batches'!$B$1:$B$302,$I7))</f>
        <v/>
      </c>
      <c r="E7" s="8">
        <f>IF($I7="","",INDEX('Batches'!$C$1:$C$302,$I7))</f>
        <v/>
      </c>
      <c r="F7" s="8">
        <f>IF($I7="","",INDEX('Batches'!$G$1:$G$302,$I7))</f>
        <v/>
      </c>
      <c r="G7" s="16">
        <f>IF($I7="","",INDEX('Batches'!$H$1:$H$302,$I7))</f>
        <v/>
      </c>
      <c r="I7" s="16">
        <f>IFERROR(ROUND(MOD(SMALL('Batches'!$J$3:$J$302,3),1)*100000,0),"")</f>
        <v/>
      </c>
    </row>
    <row r="8">
      <c r="A8" s="18">
        <f>IF($I8="","",INDEX('Batches'!$D$1:$D$302,$I8))</f>
        <v/>
      </c>
      <c r="B8" s="16">
        <f>IF($I8="","",INDEX('Batches'!$I$1:$I$302,$I8))</f>
        <v/>
      </c>
      <c r="C8" s="8">
        <f>IF($I8="","",INDEX('Batches'!$A$1:$A$302,$I8))</f>
        <v/>
      </c>
      <c r="D8" s="8">
        <f>IF($I8="","",INDEX('Batches'!$B$1:$B$302,$I8))</f>
        <v/>
      </c>
      <c r="E8" s="8">
        <f>IF($I8="","",INDEX('Batches'!$C$1:$C$302,$I8))</f>
        <v/>
      </c>
      <c r="F8" s="8">
        <f>IF($I8="","",INDEX('Batches'!$G$1:$G$302,$I8))</f>
        <v/>
      </c>
      <c r="G8" s="16">
        <f>IF($I8="","",INDEX('Batches'!$H$1:$H$302,$I8))</f>
        <v/>
      </c>
      <c r="I8" s="16">
        <f>IFERROR(ROUND(MOD(SMALL('Batches'!$J$3:$J$302,4),1)*100000,0),"")</f>
        <v/>
      </c>
    </row>
    <row r="9">
      <c r="A9" s="18">
        <f>IF($I9="","",INDEX('Batches'!$D$1:$D$302,$I9))</f>
        <v/>
      </c>
      <c r="B9" s="16">
        <f>IF($I9="","",INDEX('Batches'!$I$1:$I$302,$I9))</f>
        <v/>
      </c>
      <c r="C9" s="8">
        <f>IF($I9="","",INDEX('Batches'!$A$1:$A$302,$I9))</f>
        <v/>
      </c>
      <c r="D9" s="8">
        <f>IF($I9="","",INDEX('Batches'!$B$1:$B$302,$I9))</f>
        <v/>
      </c>
      <c r="E9" s="8">
        <f>IF($I9="","",INDEX('Batches'!$C$1:$C$302,$I9))</f>
        <v/>
      </c>
      <c r="F9" s="8">
        <f>IF($I9="","",INDEX('Batches'!$G$1:$G$302,$I9))</f>
        <v/>
      </c>
      <c r="G9" s="16">
        <f>IF($I9="","",INDEX('Batches'!$H$1:$H$302,$I9))</f>
        <v/>
      </c>
      <c r="I9" s="16">
        <f>IFERROR(ROUND(MOD(SMALL('Batches'!$J$3:$J$302,5),1)*100000,0),"")</f>
        <v/>
      </c>
    </row>
    <row r="10">
      <c r="A10" s="18">
        <f>IF($I10="","",INDEX('Batches'!$D$1:$D$302,$I10))</f>
        <v/>
      </c>
      <c r="B10" s="16">
        <f>IF($I10="","",INDEX('Batches'!$I$1:$I$302,$I10))</f>
        <v/>
      </c>
      <c r="C10" s="8">
        <f>IF($I10="","",INDEX('Batches'!$A$1:$A$302,$I10))</f>
        <v/>
      </c>
      <c r="D10" s="8">
        <f>IF($I10="","",INDEX('Batches'!$B$1:$B$302,$I10))</f>
        <v/>
      </c>
      <c r="E10" s="8">
        <f>IF($I10="","",INDEX('Batches'!$C$1:$C$302,$I10))</f>
        <v/>
      </c>
      <c r="F10" s="8">
        <f>IF($I10="","",INDEX('Batches'!$G$1:$G$302,$I10))</f>
        <v/>
      </c>
      <c r="G10" s="16">
        <f>IF($I10="","",INDEX('Batches'!$H$1:$H$302,$I10))</f>
        <v/>
      </c>
      <c r="I10" s="16">
        <f>IFERROR(ROUND(MOD(SMALL('Batches'!$J$3:$J$302,6),1)*100000,0),"")</f>
        <v/>
      </c>
    </row>
    <row r="11">
      <c r="A11" s="18">
        <f>IF($I11="","",INDEX('Batches'!$D$1:$D$302,$I11))</f>
        <v/>
      </c>
      <c r="B11" s="16">
        <f>IF($I11="","",INDEX('Batches'!$I$1:$I$302,$I11))</f>
        <v/>
      </c>
      <c r="C11" s="8">
        <f>IF($I11="","",INDEX('Batches'!$A$1:$A$302,$I11))</f>
        <v/>
      </c>
      <c r="D11" s="8">
        <f>IF($I11="","",INDEX('Batches'!$B$1:$B$302,$I11))</f>
        <v/>
      </c>
      <c r="E11" s="8">
        <f>IF($I11="","",INDEX('Batches'!$C$1:$C$302,$I11))</f>
        <v/>
      </c>
      <c r="F11" s="8">
        <f>IF($I11="","",INDEX('Batches'!$G$1:$G$302,$I11))</f>
        <v/>
      </c>
      <c r="G11" s="16">
        <f>IF($I11="","",INDEX('Batches'!$H$1:$H$302,$I11))</f>
        <v/>
      </c>
      <c r="I11" s="16">
        <f>IFERROR(ROUND(MOD(SMALL('Batches'!$J$3:$J$302,7),1)*100000,0),"")</f>
        <v/>
      </c>
    </row>
    <row r="12">
      <c r="A12" s="18">
        <f>IF($I12="","",INDEX('Batches'!$D$1:$D$302,$I12))</f>
        <v/>
      </c>
      <c r="B12" s="16">
        <f>IF($I12="","",INDEX('Batches'!$I$1:$I$302,$I12))</f>
        <v/>
      </c>
      <c r="C12" s="8">
        <f>IF($I12="","",INDEX('Batches'!$A$1:$A$302,$I12))</f>
        <v/>
      </c>
      <c r="D12" s="8">
        <f>IF($I12="","",INDEX('Batches'!$B$1:$B$302,$I12))</f>
        <v/>
      </c>
      <c r="E12" s="8">
        <f>IF($I12="","",INDEX('Batches'!$C$1:$C$302,$I12))</f>
        <v/>
      </c>
      <c r="F12" s="8">
        <f>IF($I12="","",INDEX('Batches'!$G$1:$G$302,$I12))</f>
        <v/>
      </c>
      <c r="G12" s="16">
        <f>IF($I12="","",INDEX('Batches'!$H$1:$H$302,$I12))</f>
        <v/>
      </c>
      <c r="I12" s="16">
        <f>IFERROR(ROUND(MOD(SMALL('Batches'!$J$3:$J$302,8),1)*100000,0),"")</f>
        <v/>
      </c>
    </row>
    <row r="13">
      <c r="A13" s="18">
        <f>IF($I13="","",INDEX('Batches'!$D$1:$D$302,$I13))</f>
        <v/>
      </c>
      <c r="B13" s="16">
        <f>IF($I13="","",INDEX('Batches'!$I$1:$I$302,$I13))</f>
        <v/>
      </c>
      <c r="C13" s="8">
        <f>IF($I13="","",INDEX('Batches'!$A$1:$A$302,$I13))</f>
        <v/>
      </c>
      <c r="D13" s="8">
        <f>IF($I13="","",INDEX('Batches'!$B$1:$B$302,$I13))</f>
        <v/>
      </c>
      <c r="E13" s="8">
        <f>IF($I13="","",INDEX('Batches'!$C$1:$C$302,$I13))</f>
        <v/>
      </c>
      <c r="F13" s="8">
        <f>IF($I13="","",INDEX('Batches'!$G$1:$G$302,$I13))</f>
        <v/>
      </c>
      <c r="G13" s="16">
        <f>IF($I13="","",INDEX('Batches'!$H$1:$H$302,$I13))</f>
        <v/>
      </c>
      <c r="I13" s="16">
        <f>IFERROR(ROUND(MOD(SMALL('Batches'!$J$3:$J$302,9),1)*100000,0),"")</f>
        <v/>
      </c>
    </row>
    <row r="14">
      <c r="A14" s="18">
        <f>IF($I14="","",INDEX('Batches'!$D$1:$D$302,$I14))</f>
        <v/>
      </c>
      <c r="B14" s="16">
        <f>IF($I14="","",INDEX('Batches'!$I$1:$I$302,$I14))</f>
        <v/>
      </c>
      <c r="C14" s="8">
        <f>IF($I14="","",INDEX('Batches'!$A$1:$A$302,$I14))</f>
        <v/>
      </c>
      <c r="D14" s="8">
        <f>IF($I14="","",INDEX('Batches'!$B$1:$B$302,$I14))</f>
        <v/>
      </c>
      <c r="E14" s="8">
        <f>IF($I14="","",INDEX('Batches'!$C$1:$C$302,$I14))</f>
        <v/>
      </c>
      <c r="F14" s="8">
        <f>IF($I14="","",INDEX('Batches'!$G$1:$G$302,$I14))</f>
        <v/>
      </c>
      <c r="G14" s="16">
        <f>IF($I14="","",INDEX('Batches'!$H$1:$H$302,$I14))</f>
        <v/>
      </c>
      <c r="I14" s="16">
        <f>IFERROR(ROUND(MOD(SMALL('Batches'!$J$3:$J$302,10),1)*100000,0),"")</f>
        <v/>
      </c>
    </row>
    <row r="15">
      <c r="A15" s="18">
        <f>IF($I15="","",INDEX('Batches'!$D$1:$D$302,$I15))</f>
        <v/>
      </c>
      <c r="B15" s="16">
        <f>IF($I15="","",INDEX('Batches'!$I$1:$I$302,$I15))</f>
        <v/>
      </c>
      <c r="C15" s="8">
        <f>IF($I15="","",INDEX('Batches'!$A$1:$A$302,$I15))</f>
        <v/>
      </c>
      <c r="D15" s="8">
        <f>IF($I15="","",INDEX('Batches'!$B$1:$B$302,$I15))</f>
        <v/>
      </c>
      <c r="E15" s="8">
        <f>IF($I15="","",INDEX('Batches'!$C$1:$C$302,$I15))</f>
        <v/>
      </c>
      <c r="F15" s="8">
        <f>IF($I15="","",INDEX('Batches'!$G$1:$G$302,$I15))</f>
        <v/>
      </c>
      <c r="G15" s="16">
        <f>IF($I15="","",INDEX('Batches'!$H$1:$H$302,$I15))</f>
        <v/>
      </c>
      <c r="I15" s="16">
        <f>IFERROR(ROUND(MOD(SMALL('Batches'!$J$3:$J$302,11),1)*100000,0),"")</f>
        <v/>
      </c>
    </row>
    <row r="16">
      <c r="A16" s="18">
        <f>IF($I16="","",INDEX('Batches'!$D$1:$D$302,$I16))</f>
        <v/>
      </c>
      <c r="B16" s="16">
        <f>IF($I16="","",INDEX('Batches'!$I$1:$I$302,$I16))</f>
        <v/>
      </c>
      <c r="C16" s="8">
        <f>IF($I16="","",INDEX('Batches'!$A$1:$A$302,$I16))</f>
        <v/>
      </c>
      <c r="D16" s="8">
        <f>IF($I16="","",INDEX('Batches'!$B$1:$B$302,$I16))</f>
        <v/>
      </c>
      <c r="E16" s="8">
        <f>IF($I16="","",INDEX('Batches'!$C$1:$C$302,$I16))</f>
        <v/>
      </c>
      <c r="F16" s="8">
        <f>IF($I16="","",INDEX('Batches'!$G$1:$G$302,$I16))</f>
        <v/>
      </c>
      <c r="G16" s="16">
        <f>IF($I16="","",INDEX('Batches'!$H$1:$H$302,$I16))</f>
        <v/>
      </c>
      <c r="I16" s="16">
        <f>IFERROR(ROUND(MOD(SMALL('Batches'!$J$3:$J$302,12),1)*100000,0),"")</f>
        <v/>
      </c>
    </row>
    <row r="17">
      <c r="A17" s="18">
        <f>IF($I17="","",INDEX('Batches'!$D$1:$D$302,$I17))</f>
        <v/>
      </c>
      <c r="B17" s="16">
        <f>IF($I17="","",INDEX('Batches'!$I$1:$I$302,$I17))</f>
        <v/>
      </c>
      <c r="C17" s="8">
        <f>IF($I17="","",INDEX('Batches'!$A$1:$A$302,$I17))</f>
        <v/>
      </c>
      <c r="D17" s="8">
        <f>IF($I17="","",INDEX('Batches'!$B$1:$B$302,$I17))</f>
        <v/>
      </c>
      <c r="E17" s="8">
        <f>IF($I17="","",INDEX('Batches'!$C$1:$C$302,$I17))</f>
        <v/>
      </c>
      <c r="F17" s="8">
        <f>IF($I17="","",INDEX('Batches'!$G$1:$G$302,$I17))</f>
        <v/>
      </c>
      <c r="G17" s="16">
        <f>IF($I17="","",INDEX('Batches'!$H$1:$H$302,$I17))</f>
        <v/>
      </c>
      <c r="I17" s="16">
        <f>IFERROR(ROUND(MOD(SMALL('Batches'!$J$3:$J$302,13),1)*100000,0),"")</f>
        <v/>
      </c>
    </row>
    <row r="18">
      <c r="A18" s="18">
        <f>IF($I18="","",INDEX('Batches'!$D$1:$D$302,$I18))</f>
        <v/>
      </c>
      <c r="B18" s="16">
        <f>IF($I18="","",INDEX('Batches'!$I$1:$I$302,$I18))</f>
        <v/>
      </c>
      <c r="C18" s="8">
        <f>IF($I18="","",INDEX('Batches'!$A$1:$A$302,$I18))</f>
        <v/>
      </c>
      <c r="D18" s="8">
        <f>IF($I18="","",INDEX('Batches'!$B$1:$B$302,$I18))</f>
        <v/>
      </c>
      <c r="E18" s="8">
        <f>IF($I18="","",INDEX('Batches'!$C$1:$C$302,$I18))</f>
        <v/>
      </c>
      <c r="F18" s="8">
        <f>IF($I18="","",INDEX('Batches'!$G$1:$G$302,$I18))</f>
        <v/>
      </c>
      <c r="G18" s="16">
        <f>IF($I18="","",INDEX('Batches'!$H$1:$H$302,$I18))</f>
        <v/>
      </c>
      <c r="I18" s="16">
        <f>IFERROR(ROUND(MOD(SMALL('Batches'!$J$3:$J$302,14),1)*100000,0),"")</f>
        <v/>
      </c>
    </row>
    <row r="19">
      <c r="A19" s="18">
        <f>IF($I19="","",INDEX('Batches'!$D$1:$D$302,$I19))</f>
        <v/>
      </c>
      <c r="B19" s="16">
        <f>IF($I19="","",INDEX('Batches'!$I$1:$I$302,$I19))</f>
        <v/>
      </c>
      <c r="C19" s="8">
        <f>IF($I19="","",INDEX('Batches'!$A$1:$A$302,$I19))</f>
        <v/>
      </c>
      <c r="D19" s="8">
        <f>IF($I19="","",INDEX('Batches'!$B$1:$B$302,$I19))</f>
        <v/>
      </c>
      <c r="E19" s="8">
        <f>IF($I19="","",INDEX('Batches'!$C$1:$C$302,$I19))</f>
        <v/>
      </c>
      <c r="F19" s="8">
        <f>IF($I19="","",INDEX('Batches'!$G$1:$G$302,$I19))</f>
        <v/>
      </c>
      <c r="G19" s="16">
        <f>IF($I19="","",INDEX('Batches'!$H$1:$H$302,$I19))</f>
        <v/>
      </c>
      <c r="I19" s="16">
        <f>IFERROR(ROUND(MOD(SMALL('Batches'!$J$3:$J$302,15),1)*100000,0),"")</f>
        <v/>
      </c>
    </row>
    <row r="20">
      <c r="A20" s="18">
        <f>IF($I20="","",INDEX('Batches'!$D$1:$D$302,$I20))</f>
        <v/>
      </c>
      <c r="B20" s="16">
        <f>IF($I20="","",INDEX('Batches'!$I$1:$I$302,$I20))</f>
        <v/>
      </c>
      <c r="C20" s="8">
        <f>IF($I20="","",INDEX('Batches'!$A$1:$A$302,$I20))</f>
        <v/>
      </c>
      <c r="D20" s="8">
        <f>IF($I20="","",INDEX('Batches'!$B$1:$B$302,$I20))</f>
        <v/>
      </c>
      <c r="E20" s="8">
        <f>IF($I20="","",INDEX('Batches'!$C$1:$C$302,$I20))</f>
        <v/>
      </c>
      <c r="F20" s="8">
        <f>IF($I20="","",INDEX('Batches'!$G$1:$G$302,$I20))</f>
        <v/>
      </c>
      <c r="G20" s="16">
        <f>IF($I20="","",INDEX('Batches'!$H$1:$H$302,$I20))</f>
        <v/>
      </c>
      <c r="I20" s="16">
        <f>IFERROR(ROUND(MOD(SMALL('Batches'!$J$3:$J$302,16),1)*100000,0),"")</f>
        <v/>
      </c>
    </row>
    <row r="21">
      <c r="A21" s="18">
        <f>IF($I21="","",INDEX('Batches'!$D$1:$D$302,$I21))</f>
        <v/>
      </c>
      <c r="B21" s="16">
        <f>IF($I21="","",INDEX('Batches'!$I$1:$I$302,$I21))</f>
        <v/>
      </c>
      <c r="C21" s="8">
        <f>IF($I21="","",INDEX('Batches'!$A$1:$A$302,$I21))</f>
        <v/>
      </c>
      <c r="D21" s="8">
        <f>IF($I21="","",INDEX('Batches'!$B$1:$B$302,$I21))</f>
        <v/>
      </c>
      <c r="E21" s="8">
        <f>IF($I21="","",INDEX('Batches'!$C$1:$C$302,$I21))</f>
        <v/>
      </c>
      <c r="F21" s="8">
        <f>IF($I21="","",INDEX('Batches'!$G$1:$G$302,$I21))</f>
        <v/>
      </c>
      <c r="G21" s="16">
        <f>IF($I21="","",INDEX('Batches'!$H$1:$H$302,$I21))</f>
        <v/>
      </c>
      <c r="I21" s="16">
        <f>IFERROR(ROUND(MOD(SMALL('Batches'!$J$3:$J$302,17),1)*100000,0),"")</f>
        <v/>
      </c>
    </row>
    <row r="22">
      <c r="A22" s="18">
        <f>IF($I22="","",INDEX('Batches'!$D$1:$D$302,$I22))</f>
        <v/>
      </c>
      <c r="B22" s="16">
        <f>IF($I22="","",INDEX('Batches'!$I$1:$I$302,$I22))</f>
        <v/>
      </c>
      <c r="C22" s="8">
        <f>IF($I22="","",INDEX('Batches'!$A$1:$A$302,$I22))</f>
        <v/>
      </c>
      <c r="D22" s="8">
        <f>IF($I22="","",INDEX('Batches'!$B$1:$B$302,$I22))</f>
        <v/>
      </c>
      <c r="E22" s="8">
        <f>IF($I22="","",INDEX('Batches'!$C$1:$C$302,$I22))</f>
        <v/>
      </c>
      <c r="F22" s="8">
        <f>IF($I22="","",INDEX('Batches'!$G$1:$G$302,$I22))</f>
        <v/>
      </c>
      <c r="G22" s="16">
        <f>IF($I22="","",INDEX('Batches'!$H$1:$H$302,$I22))</f>
        <v/>
      </c>
      <c r="I22" s="16">
        <f>IFERROR(ROUND(MOD(SMALL('Batches'!$J$3:$J$302,18),1)*100000,0),"")</f>
        <v/>
      </c>
    </row>
    <row r="23">
      <c r="A23" s="18">
        <f>IF($I23="","",INDEX('Batches'!$D$1:$D$302,$I23))</f>
        <v/>
      </c>
      <c r="B23" s="16">
        <f>IF($I23="","",INDEX('Batches'!$I$1:$I$302,$I23))</f>
        <v/>
      </c>
      <c r="C23" s="8">
        <f>IF($I23="","",INDEX('Batches'!$A$1:$A$302,$I23))</f>
        <v/>
      </c>
      <c r="D23" s="8">
        <f>IF($I23="","",INDEX('Batches'!$B$1:$B$302,$I23))</f>
        <v/>
      </c>
      <c r="E23" s="8">
        <f>IF($I23="","",INDEX('Batches'!$C$1:$C$302,$I23))</f>
        <v/>
      </c>
      <c r="F23" s="8">
        <f>IF($I23="","",INDEX('Batches'!$G$1:$G$302,$I23))</f>
        <v/>
      </c>
      <c r="G23" s="16">
        <f>IF($I23="","",INDEX('Batches'!$H$1:$H$302,$I23))</f>
        <v/>
      </c>
      <c r="I23" s="16">
        <f>IFERROR(ROUND(MOD(SMALL('Batches'!$J$3:$J$302,19),1)*100000,0),"")</f>
        <v/>
      </c>
    </row>
    <row r="24">
      <c r="A24" s="18">
        <f>IF($I24="","",INDEX('Batches'!$D$1:$D$302,$I24))</f>
        <v/>
      </c>
      <c r="B24" s="16">
        <f>IF($I24="","",INDEX('Batches'!$I$1:$I$302,$I24))</f>
        <v/>
      </c>
      <c r="C24" s="8">
        <f>IF($I24="","",INDEX('Batches'!$A$1:$A$302,$I24))</f>
        <v/>
      </c>
      <c r="D24" s="8">
        <f>IF($I24="","",INDEX('Batches'!$B$1:$B$302,$I24))</f>
        <v/>
      </c>
      <c r="E24" s="8">
        <f>IF($I24="","",INDEX('Batches'!$C$1:$C$302,$I24))</f>
        <v/>
      </c>
      <c r="F24" s="8">
        <f>IF($I24="","",INDEX('Batches'!$G$1:$G$302,$I24))</f>
        <v/>
      </c>
      <c r="G24" s="16">
        <f>IF($I24="","",INDEX('Batches'!$H$1:$H$302,$I24))</f>
        <v/>
      </c>
      <c r="I24" s="16">
        <f>IFERROR(ROUND(MOD(SMALL('Batches'!$J$3:$J$302,20),1)*100000,0),"")</f>
        <v/>
      </c>
    </row>
    <row r="25">
      <c r="A25" s="18">
        <f>IF($I25="","",INDEX('Batches'!$D$1:$D$302,$I25))</f>
        <v/>
      </c>
      <c r="B25" s="16">
        <f>IF($I25="","",INDEX('Batches'!$I$1:$I$302,$I25))</f>
        <v/>
      </c>
      <c r="C25" s="8">
        <f>IF($I25="","",INDEX('Batches'!$A$1:$A$302,$I25))</f>
        <v/>
      </c>
      <c r="D25" s="8">
        <f>IF($I25="","",INDEX('Batches'!$B$1:$B$302,$I25))</f>
        <v/>
      </c>
      <c r="E25" s="8">
        <f>IF($I25="","",INDEX('Batches'!$C$1:$C$302,$I25))</f>
        <v/>
      </c>
      <c r="F25" s="8">
        <f>IF($I25="","",INDEX('Batches'!$G$1:$G$302,$I25))</f>
        <v/>
      </c>
      <c r="G25" s="16">
        <f>IF($I25="","",INDEX('Batches'!$H$1:$H$302,$I25))</f>
        <v/>
      </c>
      <c r="I25" s="16">
        <f>IFERROR(ROUND(MOD(SMALL('Batches'!$J$3:$J$302,21),1)*100000,0),"")</f>
        <v/>
      </c>
    </row>
    <row r="26">
      <c r="A26" s="18">
        <f>IF($I26="","",INDEX('Batches'!$D$1:$D$302,$I26))</f>
        <v/>
      </c>
      <c r="B26" s="16">
        <f>IF($I26="","",INDEX('Batches'!$I$1:$I$302,$I26))</f>
        <v/>
      </c>
      <c r="C26" s="8">
        <f>IF($I26="","",INDEX('Batches'!$A$1:$A$302,$I26))</f>
        <v/>
      </c>
      <c r="D26" s="8">
        <f>IF($I26="","",INDEX('Batches'!$B$1:$B$302,$I26))</f>
        <v/>
      </c>
      <c r="E26" s="8">
        <f>IF($I26="","",INDEX('Batches'!$C$1:$C$302,$I26))</f>
        <v/>
      </c>
      <c r="F26" s="8">
        <f>IF($I26="","",INDEX('Batches'!$G$1:$G$302,$I26))</f>
        <v/>
      </c>
      <c r="G26" s="16">
        <f>IF($I26="","",INDEX('Batches'!$H$1:$H$302,$I26))</f>
        <v/>
      </c>
      <c r="I26" s="16">
        <f>IFERROR(ROUND(MOD(SMALL('Batches'!$J$3:$J$302,22),1)*100000,0),"")</f>
        <v/>
      </c>
    </row>
    <row r="27">
      <c r="A27" s="18">
        <f>IF($I27="","",INDEX('Batches'!$D$1:$D$302,$I27))</f>
        <v/>
      </c>
      <c r="B27" s="16">
        <f>IF($I27="","",INDEX('Batches'!$I$1:$I$302,$I27))</f>
        <v/>
      </c>
      <c r="C27" s="8">
        <f>IF($I27="","",INDEX('Batches'!$A$1:$A$302,$I27))</f>
        <v/>
      </c>
      <c r="D27" s="8">
        <f>IF($I27="","",INDEX('Batches'!$B$1:$B$302,$I27))</f>
        <v/>
      </c>
      <c r="E27" s="8">
        <f>IF($I27="","",INDEX('Batches'!$C$1:$C$302,$I27))</f>
        <v/>
      </c>
      <c r="F27" s="8">
        <f>IF($I27="","",INDEX('Batches'!$G$1:$G$302,$I27))</f>
        <v/>
      </c>
      <c r="G27" s="16">
        <f>IF($I27="","",INDEX('Batches'!$H$1:$H$302,$I27))</f>
        <v/>
      </c>
      <c r="I27" s="16">
        <f>IFERROR(ROUND(MOD(SMALL('Batches'!$J$3:$J$302,23),1)*100000,0),"")</f>
        <v/>
      </c>
    </row>
    <row r="28">
      <c r="A28" s="18">
        <f>IF($I28="","",INDEX('Batches'!$D$1:$D$302,$I28))</f>
        <v/>
      </c>
      <c r="B28" s="16">
        <f>IF($I28="","",INDEX('Batches'!$I$1:$I$302,$I28))</f>
        <v/>
      </c>
      <c r="C28" s="8">
        <f>IF($I28="","",INDEX('Batches'!$A$1:$A$302,$I28))</f>
        <v/>
      </c>
      <c r="D28" s="8">
        <f>IF($I28="","",INDEX('Batches'!$B$1:$B$302,$I28))</f>
        <v/>
      </c>
      <c r="E28" s="8">
        <f>IF($I28="","",INDEX('Batches'!$C$1:$C$302,$I28))</f>
        <v/>
      </c>
      <c r="F28" s="8">
        <f>IF($I28="","",INDEX('Batches'!$G$1:$G$302,$I28))</f>
        <v/>
      </c>
      <c r="G28" s="16">
        <f>IF($I28="","",INDEX('Batches'!$H$1:$H$302,$I28))</f>
        <v/>
      </c>
      <c r="I28" s="16">
        <f>IFERROR(ROUND(MOD(SMALL('Batches'!$J$3:$J$302,24),1)*100000,0),"")</f>
        <v/>
      </c>
    </row>
    <row r="29">
      <c r="A29" s="18">
        <f>IF($I29="","",INDEX('Batches'!$D$1:$D$302,$I29))</f>
        <v/>
      </c>
      <c r="B29" s="16">
        <f>IF($I29="","",INDEX('Batches'!$I$1:$I$302,$I29))</f>
        <v/>
      </c>
      <c r="C29" s="8">
        <f>IF($I29="","",INDEX('Batches'!$A$1:$A$302,$I29))</f>
        <v/>
      </c>
      <c r="D29" s="8">
        <f>IF($I29="","",INDEX('Batches'!$B$1:$B$302,$I29))</f>
        <v/>
      </c>
      <c r="E29" s="8">
        <f>IF($I29="","",INDEX('Batches'!$C$1:$C$302,$I29))</f>
        <v/>
      </c>
      <c r="F29" s="8">
        <f>IF($I29="","",INDEX('Batches'!$G$1:$G$302,$I29))</f>
        <v/>
      </c>
      <c r="G29" s="16">
        <f>IF($I29="","",INDEX('Batches'!$H$1:$H$302,$I29))</f>
        <v/>
      </c>
      <c r="I29" s="16">
        <f>IFERROR(ROUND(MOD(SMALL('Batches'!$J$3:$J$302,25),1)*100000,0),"")</f>
        <v/>
      </c>
    </row>
    <row r="30">
      <c r="A30" s="18">
        <f>IF($I30="","",INDEX('Batches'!$D$1:$D$302,$I30))</f>
        <v/>
      </c>
      <c r="B30" s="16">
        <f>IF($I30="","",INDEX('Batches'!$I$1:$I$302,$I30))</f>
        <v/>
      </c>
      <c r="C30" s="8">
        <f>IF($I30="","",INDEX('Batches'!$A$1:$A$302,$I30))</f>
        <v/>
      </c>
      <c r="D30" s="8">
        <f>IF($I30="","",INDEX('Batches'!$B$1:$B$302,$I30))</f>
        <v/>
      </c>
      <c r="E30" s="8">
        <f>IF($I30="","",INDEX('Batches'!$C$1:$C$302,$I30))</f>
        <v/>
      </c>
      <c r="F30" s="8">
        <f>IF($I30="","",INDEX('Batches'!$G$1:$G$302,$I30))</f>
        <v/>
      </c>
      <c r="G30" s="16">
        <f>IF($I30="","",INDEX('Batches'!$H$1:$H$302,$I30))</f>
        <v/>
      </c>
      <c r="I30" s="16">
        <f>IFERROR(ROUND(MOD(SMALL('Batches'!$J$3:$J$302,26),1)*100000,0),"")</f>
        <v/>
      </c>
    </row>
    <row r="31">
      <c r="A31" s="18">
        <f>IF($I31="","",INDEX('Batches'!$D$1:$D$302,$I31))</f>
        <v/>
      </c>
      <c r="B31" s="16">
        <f>IF($I31="","",INDEX('Batches'!$I$1:$I$302,$I31))</f>
        <v/>
      </c>
      <c r="C31" s="8">
        <f>IF($I31="","",INDEX('Batches'!$A$1:$A$302,$I31))</f>
        <v/>
      </c>
      <c r="D31" s="8">
        <f>IF($I31="","",INDEX('Batches'!$B$1:$B$302,$I31))</f>
        <v/>
      </c>
      <c r="E31" s="8">
        <f>IF($I31="","",INDEX('Batches'!$C$1:$C$302,$I31))</f>
        <v/>
      </c>
      <c r="F31" s="8">
        <f>IF($I31="","",INDEX('Batches'!$G$1:$G$302,$I31))</f>
        <v/>
      </c>
      <c r="G31" s="16">
        <f>IF($I31="","",INDEX('Batches'!$H$1:$H$302,$I31))</f>
        <v/>
      </c>
      <c r="I31" s="16">
        <f>IFERROR(ROUND(MOD(SMALL('Batches'!$J$3:$J$302,27),1)*100000,0),"")</f>
        <v/>
      </c>
    </row>
    <row r="32">
      <c r="A32" s="18">
        <f>IF($I32="","",INDEX('Batches'!$D$1:$D$302,$I32))</f>
        <v/>
      </c>
      <c r="B32" s="16">
        <f>IF($I32="","",INDEX('Batches'!$I$1:$I$302,$I32))</f>
        <v/>
      </c>
      <c r="C32" s="8">
        <f>IF($I32="","",INDEX('Batches'!$A$1:$A$302,$I32))</f>
        <v/>
      </c>
      <c r="D32" s="8">
        <f>IF($I32="","",INDEX('Batches'!$B$1:$B$302,$I32))</f>
        <v/>
      </c>
      <c r="E32" s="8">
        <f>IF($I32="","",INDEX('Batches'!$C$1:$C$302,$I32))</f>
        <v/>
      </c>
      <c r="F32" s="8">
        <f>IF($I32="","",INDEX('Batches'!$G$1:$G$302,$I32))</f>
        <v/>
      </c>
      <c r="G32" s="16">
        <f>IF($I32="","",INDEX('Batches'!$H$1:$H$302,$I32))</f>
        <v/>
      </c>
      <c r="I32" s="16">
        <f>IFERROR(ROUND(MOD(SMALL('Batches'!$J$3:$J$302,28),1)*100000,0),"")</f>
        <v/>
      </c>
    </row>
    <row r="33">
      <c r="A33" s="18">
        <f>IF($I33="","",INDEX('Batches'!$D$1:$D$302,$I33))</f>
        <v/>
      </c>
      <c r="B33" s="16">
        <f>IF($I33="","",INDEX('Batches'!$I$1:$I$302,$I33))</f>
        <v/>
      </c>
      <c r="C33" s="8">
        <f>IF($I33="","",INDEX('Batches'!$A$1:$A$302,$I33))</f>
        <v/>
      </c>
      <c r="D33" s="8">
        <f>IF($I33="","",INDEX('Batches'!$B$1:$B$302,$I33))</f>
        <v/>
      </c>
      <c r="E33" s="8">
        <f>IF($I33="","",INDEX('Batches'!$C$1:$C$302,$I33))</f>
        <v/>
      </c>
      <c r="F33" s="8">
        <f>IF($I33="","",INDEX('Batches'!$G$1:$G$302,$I33))</f>
        <v/>
      </c>
      <c r="G33" s="16">
        <f>IF($I33="","",INDEX('Batches'!$H$1:$H$302,$I33))</f>
        <v/>
      </c>
      <c r="I33" s="16">
        <f>IFERROR(ROUND(MOD(SMALL('Batches'!$J$3:$J$302,29),1)*100000,0),"")</f>
        <v/>
      </c>
    </row>
    <row r="34">
      <c r="A34" s="18">
        <f>IF($I34="","",INDEX('Batches'!$D$1:$D$302,$I34))</f>
        <v/>
      </c>
      <c r="B34" s="16">
        <f>IF($I34="","",INDEX('Batches'!$I$1:$I$302,$I34))</f>
        <v/>
      </c>
      <c r="C34" s="8">
        <f>IF($I34="","",INDEX('Batches'!$A$1:$A$302,$I34))</f>
        <v/>
      </c>
      <c r="D34" s="8">
        <f>IF($I34="","",INDEX('Batches'!$B$1:$B$302,$I34))</f>
        <v/>
      </c>
      <c r="E34" s="8">
        <f>IF($I34="","",INDEX('Batches'!$C$1:$C$302,$I34))</f>
        <v/>
      </c>
      <c r="F34" s="8">
        <f>IF($I34="","",INDEX('Batches'!$G$1:$G$302,$I34))</f>
        <v/>
      </c>
      <c r="G34" s="16">
        <f>IF($I34="","",INDEX('Batches'!$H$1:$H$302,$I34))</f>
        <v/>
      </c>
      <c r="I34" s="16">
        <f>IFERROR(ROUND(MOD(SMALL('Batches'!$J$3:$J$302,30),1)*100000,0),"")</f>
        <v/>
      </c>
    </row>
    <row r="35">
      <c r="A35" s="18">
        <f>IF($I35="","",INDEX('Batches'!$D$1:$D$302,$I35))</f>
        <v/>
      </c>
      <c r="B35" s="16">
        <f>IF($I35="","",INDEX('Batches'!$I$1:$I$302,$I35))</f>
        <v/>
      </c>
      <c r="C35" s="8">
        <f>IF($I35="","",INDEX('Batches'!$A$1:$A$302,$I35))</f>
        <v/>
      </c>
      <c r="D35" s="8">
        <f>IF($I35="","",INDEX('Batches'!$B$1:$B$302,$I35))</f>
        <v/>
      </c>
      <c r="E35" s="8">
        <f>IF($I35="","",INDEX('Batches'!$C$1:$C$302,$I35))</f>
        <v/>
      </c>
      <c r="F35" s="8">
        <f>IF($I35="","",INDEX('Batches'!$G$1:$G$302,$I35))</f>
        <v/>
      </c>
      <c r="G35" s="16">
        <f>IF($I35="","",INDEX('Batches'!$H$1:$H$302,$I35))</f>
        <v/>
      </c>
      <c r="I35" s="16">
        <f>IFERROR(ROUND(MOD(SMALL('Batches'!$J$3:$J$302,31),1)*100000,0),"")</f>
        <v/>
      </c>
    </row>
    <row r="36">
      <c r="A36" s="18">
        <f>IF($I36="","",INDEX('Batches'!$D$1:$D$302,$I36))</f>
        <v/>
      </c>
      <c r="B36" s="16">
        <f>IF($I36="","",INDEX('Batches'!$I$1:$I$302,$I36))</f>
        <v/>
      </c>
      <c r="C36" s="8">
        <f>IF($I36="","",INDEX('Batches'!$A$1:$A$302,$I36))</f>
        <v/>
      </c>
      <c r="D36" s="8">
        <f>IF($I36="","",INDEX('Batches'!$B$1:$B$302,$I36))</f>
        <v/>
      </c>
      <c r="E36" s="8">
        <f>IF($I36="","",INDEX('Batches'!$C$1:$C$302,$I36))</f>
        <v/>
      </c>
      <c r="F36" s="8">
        <f>IF($I36="","",INDEX('Batches'!$G$1:$G$302,$I36))</f>
        <v/>
      </c>
      <c r="G36" s="16">
        <f>IF($I36="","",INDEX('Batches'!$H$1:$H$302,$I36))</f>
        <v/>
      </c>
      <c r="I36" s="16">
        <f>IFERROR(ROUND(MOD(SMALL('Batches'!$J$3:$J$302,32),1)*100000,0),"")</f>
        <v/>
      </c>
    </row>
    <row r="37">
      <c r="A37" s="18">
        <f>IF($I37="","",INDEX('Batches'!$D$1:$D$302,$I37))</f>
        <v/>
      </c>
      <c r="B37" s="16">
        <f>IF($I37="","",INDEX('Batches'!$I$1:$I$302,$I37))</f>
        <v/>
      </c>
      <c r="C37" s="8">
        <f>IF($I37="","",INDEX('Batches'!$A$1:$A$302,$I37))</f>
        <v/>
      </c>
      <c r="D37" s="8">
        <f>IF($I37="","",INDEX('Batches'!$B$1:$B$302,$I37))</f>
        <v/>
      </c>
      <c r="E37" s="8">
        <f>IF($I37="","",INDEX('Batches'!$C$1:$C$302,$I37))</f>
        <v/>
      </c>
      <c r="F37" s="8">
        <f>IF($I37="","",INDEX('Batches'!$G$1:$G$302,$I37))</f>
        <v/>
      </c>
      <c r="G37" s="16">
        <f>IF($I37="","",INDEX('Batches'!$H$1:$H$302,$I37))</f>
        <v/>
      </c>
      <c r="I37" s="16">
        <f>IFERROR(ROUND(MOD(SMALL('Batches'!$J$3:$J$302,33),1)*100000,0),"")</f>
        <v/>
      </c>
    </row>
    <row r="38">
      <c r="A38" s="18">
        <f>IF($I38="","",INDEX('Batches'!$D$1:$D$302,$I38))</f>
        <v/>
      </c>
      <c r="B38" s="16">
        <f>IF($I38="","",INDEX('Batches'!$I$1:$I$302,$I38))</f>
        <v/>
      </c>
      <c r="C38" s="8">
        <f>IF($I38="","",INDEX('Batches'!$A$1:$A$302,$I38))</f>
        <v/>
      </c>
      <c r="D38" s="8">
        <f>IF($I38="","",INDEX('Batches'!$B$1:$B$302,$I38))</f>
        <v/>
      </c>
      <c r="E38" s="8">
        <f>IF($I38="","",INDEX('Batches'!$C$1:$C$302,$I38))</f>
        <v/>
      </c>
      <c r="F38" s="8">
        <f>IF($I38="","",INDEX('Batches'!$G$1:$G$302,$I38))</f>
        <v/>
      </c>
      <c r="G38" s="16">
        <f>IF($I38="","",INDEX('Batches'!$H$1:$H$302,$I38))</f>
        <v/>
      </c>
      <c r="I38" s="16">
        <f>IFERROR(ROUND(MOD(SMALL('Batches'!$J$3:$J$302,34),1)*100000,0),"")</f>
        <v/>
      </c>
    </row>
    <row r="39">
      <c r="A39" s="18">
        <f>IF($I39="","",INDEX('Batches'!$D$1:$D$302,$I39))</f>
        <v/>
      </c>
      <c r="B39" s="16">
        <f>IF($I39="","",INDEX('Batches'!$I$1:$I$302,$I39))</f>
        <v/>
      </c>
      <c r="C39" s="8">
        <f>IF($I39="","",INDEX('Batches'!$A$1:$A$302,$I39))</f>
        <v/>
      </c>
      <c r="D39" s="8">
        <f>IF($I39="","",INDEX('Batches'!$B$1:$B$302,$I39))</f>
        <v/>
      </c>
      <c r="E39" s="8">
        <f>IF($I39="","",INDEX('Batches'!$C$1:$C$302,$I39))</f>
        <v/>
      </c>
      <c r="F39" s="8">
        <f>IF($I39="","",INDEX('Batches'!$G$1:$G$302,$I39))</f>
        <v/>
      </c>
      <c r="G39" s="16">
        <f>IF($I39="","",INDEX('Batches'!$H$1:$H$302,$I39))</f>
        <v/>
      </c>
      <c r="I39" s="16">
        <f>IFERROR(ROUND(MOD(SMALL('Batches'!$J$3:$J$302,35),1)*100000,0),"")</f>
        <v/>
      </c>
    </row>
    <row r="40">
      <c r="A40" s="18">
        <f>IF($I40="","",INDEX('Batches'!$D$1:$D$302,$I40))</f>
        <v/>
      </c>
      <c r="B40" s="16">
        <f>IF($I40="","",INDEX('Batches'!$I$1:$I$302,$I40))</f>
        <v/>
      </c>
      <c r="C40" s="8">
        <f>IF($I40="","",INDEX('Batches'!$A$1:$A$302,$I40))</f>
        <v/>
      </c>
      <c r="D40" s="8">
        <f>IF($I40="","",INDEX('Batches'!$B$1:$B$302,$I40))</f>
        <v/>
      </c>
      <c r="E40" s="8">
        <f>IF($I40="","",INDEX('Batches'!$C$1:$C$302,$I40))</f>
        <v/>
      </c>
      <c r="F40" s="8">
        <f>IF($I40="","",INDEX('Batches'!$G$1:$G$302,$I40))</f>
        <v/>
      </c>
      <c r="G40" s="16">
        <f>IF($I40="","",INDEX('Batches'!$H$1:$H$302,$I40))</f>
        <v/>
      </c>
      <c r="I40" s="16">
        <f>IFERROR(ROUND(MOD(SMALL('Batches'!$J$3:$J$302,36),1)*100000,0),"")</f>
        <v/>
      </c>
    </row>
    <row r="41">
      <c r="A41" s="18">
        <f>IF($I41="","",INDEX('Batches'!$D$1:$D$302,$I41))</f>
        <v/>
      </c>
      <c r="B41" s="16">
        <f>IF($I41="","",INDEX('Batches'!$I$1:$I$302,$I41))</f>
        <v/>
      </c>
      <c r="C41" s="8">
        <f>IF($I41="","",INDEX('Batches'!$A$1:$A$302,$I41))</f>
        <v/>
      </c>
      <c r="D41" s="8">
        <f>IF($I41="","",INDEX('Batches'!$B$1:$B$302,$I41))</f>
        <v/>
      </c>
      <c r="E41" s="8">
        <f>IF($I41="","",INDEX('Batches'!$C$1:$C$302,$I41))</f>
        <v/>
      </c>
      <c r="F41" s="8">
        <f>IF($I41="","",INDEX('Batches'!$G$1:$G$302,$I41))</f>
        <v/>
      </c>
      <c r="G41" s="16">
        <f>IF($I41="","",INDEX('Batches'!$H$1:$H$302,$I41))</f>
        <v/>
      </c>
      <c r="I41" s="16">
        <f>IFERROR(ROUND(MOD(SMALL('Batches'!$J$3:$J$302,37),1)*100000,0),"")</f>
        <v/>
      </c>
    </row>
    <row r="42">
      <c r="A42" s="18">
        <f>IF($I42="","",INDEX('Batches'!$D$1:$D$302,$I42))</f>
        <v/>
      </c>
      <c r="B42" s="16">
        <f>IF($I42="","",INDEX('Batches'!$I$1:$I$302,$I42))</f>
        <v/>
      </c>
      <c r="C42" s="8">
        <f>IF($I42="","",INDEX('Batches'!$A$1:$A$302,$I42))</f>
        <v/>
      </c>
      <c r="D42" s="8">
        <f>IF($I42="","",INDEX('Batches'!$B$1:$B$302,$I42))</f>
        <v/>
      </c>
      <c r="E42" s="8">
        <f>IF($I42="","",INDEX('Batches'!$C$1:$C$302,$I42))</f>
        <v/>
      </c>
      <c r="F42" s="8">
        <f>IF($I42="","",INDEX('Batches'!$G$1:$G$302,$I42))</f>
        <v/>
      </c>
      <c r="G42" s="16">
        <f>IF($I42="","",INDEX('Batches'!$H$1:$H$302,$I42))</f>
        <v/>
      </c>
      <c r="I42" s="16">
        <f>IFERROR(ROUND(MOD(SMALL('Batches'!$J$3:$J$302,38),1)*100000,0),"")</f>
        <v/>
      </c>
    </row>
    <row r="43">
      <c r="A43" s="18">
        <f>IF($I43="","",INDEX('Batches'!$D$1:$D$302,$I43))</f>
        <v/>
      </c>
      <c r="B43" s="16">
        <f>IF($I43="","",INDEX('Batches'!$I$1:$I$302,$I43))</f>
        <v/>
      </c>
      <c r="C43" s="8">
        <f>IF($I43="","",INDEX('Batches'!$A$1:$A$302,$I43))</f>
        <v/>
      </c>
      <c r="D43" s="8">
        <f>IF($I43="","",INDEX('Batches'!$B$1:$B$302,$I43))</f>
        <v/>
      </c>
      <c r="E43" s="8">
        <f>IF($I43="","",INDEX('Batches'!$C$1:$C$302,$I43))</f>
        <v/>
      </c>
      <c r="F43" s="8">
        <f>IF($I43="","",INDEX('Batches'!$G$1:$G$302,$I43))</f>
        <v/>
      </c>
      <c r="G43" s="16">
        <f>IF($I43="","",INDEX('Batches'!$H$1:$H$302,$I43))</f>
        <v/>
      </c>
      <c r="I43" s="16">
        <f>IFERROR(ROUND(MOD(SMALL('Batches'!$J$3:$J$302,39),1)*100000,0),"")</f>
        <v/>
      </c>
    </row>
    <row r="44">
      <c r="A44" s="18">
        <f>IF($I44="","",INDEX('Batches'!$D$1:$D$302,$I44))</f>
        <v/>
      </c>
      <c r="B44" s="16">
        <f>IF($I44="","",INDEX('Batches'!$I$1:$I$302,$I44))</f>
        <v/>
      </c>
      <c r="C44" s="8">
        <f>IF($I44="","",INDEX('Batches'!$A$1:$A$302,$I44))</f>
        <v/>
      </c>
      <c r="D44" s="8">
        <f>IF($I44="","",INDEX('Batches'!$B$1:$B$302,$I44))</f>
        <v/>
      </c>
      <c r="E44" s="8">
        <f>IF($I44="","",INDEX('Batches'!$C$1:$C$302,$I44))</f>
        <v/>
      </c>
      <c r="F44" s="8">
        <f>IF($I44="","",INDEX('Batches'!$G$1:$G$302,$I44))</f>
        <v/>
      </c>
      <c r="G44" s="16">
        <f>IF($I44="","",INDEX('Batches'!$H$1:$H$302,$I44))</f>
        <v/>
      </c>
      <c r="I44" s="16">
        <f>IFERROR(ROUND(MOD(SMALL('Batches'!$J$3:$J$302,40),1)*100000,0),"")</f>
        <v/>
      </c>
    </row>
    <row r="45">
      <c r="A45" s="18">
        <f>IF($I45="","",INDEX('Batches'!$D$1:$D$302,$I45))</f>
        <v/>
      </c>
      <c r="B45" s="16">
        <f>IF($I45="","",INDEX('Batches'!$I$1:$I$302,$I45))</f>
        <v/>
      </c>
      <c r="C45" s="8">
        <f>IF($I45="","",INDEX('Batches'!$A$1:$A$302,$I45))</f>
        <v/>
      </c>
      <c r="D45" s="8">
        <f>IF($I45="","",INDEX('Batches'!$B$1:$B$302,$I45))</f>
        <v/>
      </c>
      <c r="E45" s="8">
        <f>IF($I45="","",INDEX('Batches'!$C$1:$C$302,$I45))</f>
        <v/>
      </c>
      <c r="F45" s="8">
        <f>IF($I45="","",INDEX('Batches'!$G$1:$G$302,$I45))</f>
        <v/>
      </c>
      <c r="G45" s="16">
        <f>IF($I45="","",INDEX('Batches'!$H$1:$H$302,$I45))</f>
        <v/>
      </c>
      <c r="I45" s="16">
        <f>IFERROR(ROUND(MOD(SMALL('Batches'!$J$3:$J$302,41),1)*100000,0),"")</f>
        <v/>
      </c>
    </row>
    <row r="46">
      <c r="A46" s="18">
        <f>IF($I46="","",INDEX('Batches'!$D$1:$D$302,$I46))</f>
        <v/>
      </c>
      <c r="B46" s="16">
        <f>IF($I46="","",INDEX('Batches'!$I$1:$I$302,$I46))</f>
        <v/>
      </c>
      <c r="C46" s="8">
        <f>IF($I46="","",INDEX('Batches'!$A$1:$A$302,$I46))</f>
        <v/>
      </c>
      <c r="D46" s="8">
        <f>IF($I46="","",INDEX('Batches'!$B$1:$B$302,$I46))</f>
        <v/>
      </c>
      <c r="E46" s="8">
        <f>IF($I46="","",INDEX('Batches'!$C$1:$C$302,$I46))</f>
        <v/>
      </c>
      <c r="F46" s="8">
        <f>IF($I46="","",INDEX('Batches'!$G$1:$G$302,$I46))</f>
        <v/>
      </c>
      <c r="G46" s="16">
        <f>IF($I46="","",INDEX('Batches'!$H$1:$H$302,$I46))</f>
        <v/>
      </c>
      <c r="I46" s="16">
        <f>IFERROR(ROUND(MOD(SMALL('Batches'!$J$3:$J$302,42),1)*100000,0),"")</f>
        <v/>
      </c>
    </row>
    <row r="47">
      <c r="A47" s="18">
        <f>IF($I47="","",INDEX('Batches'!$D$1:$D$302,$I47))</f>
        <v/>
      </c>
      <c r="B47" s="16">
        <f>IF($I47="","",INDEX('Batches'!$I$1:$I$302,$I47))</f>
        <v/>
      </c>
      <c r="C47" s="8">
        <f>IF($I47="","",INDEX('Batches'!$A$1:$A$302,$I47))</f>
        <v/>
      </c>
      <c r="D47" s="8">
        <f>IF($I47="","",INDEX('Batches'!$B$1:$B$302,$I47))</f>
        <v/>
      </c>
      <c r="E47" s="8">
        <f>IF($I47="","",INDEX('Batches'!$C$1:$C$302,$I47))</f>
        <v/>
      </c>
      <c r="F47" s="8">
        <f>IF($I47="","",INDEX('Batches'!$G$1:$G$302,$I47))</f>
        <v/>
      </c>
      <c r="G47" s="16">
        <f>IF($I47="","",INDEX('Batches'!$H$1:$H$302,$I47))</f>
        <v/>
      </c>
      <c r="I47" s="16">
        <f>IFERROR(ROUND(MOD(SMALL('Batches'!$J$3:$J$302,43),1)*100000,0),"")</f>
        <v/>
      </c>
    </row>
    <row r="48">
      <c r="A48" s="18">
        <f>IF($I48="","",INDEX('Batches'!$D$1:$D$302,$I48))</f>
        <v/>
      </c>
      <c r="B48" s="16">
        <f>IF($I48="","",INDEX('Batches'!$I$1:$I$302,$I48))</f>
        <v/>
      </c>
      <c r="C48" s="8">
        <f>IF($I48="","",INDEX('Batches'!$A$1:$A$302,$I48))</f>
        <v/>
      </c>
      <c r="D48" s="8">
        <f>IF($I48="","",INDEX('Batches'!$B$1:$B$302,$I48))</f>
        <v/>
      </c>
      <c r="E48" s="8">
        <f>IF($I48="","",INDEX('Batches'!$C$1:$C$302,$I48))</f>
        <v/>
      </c>
      <c r="F48" s="8">
        <f>IF($I48="","",INDEX('Batches'!$G$1:$G$302,$I48))</f>
        <v/>
      </c>
      <c r="G48" s="16">
        <f>IF($I48="","",INDEX('Batches'!$H$1:$H$302,$I48))</f>
        <v/>
      </c>
      <c r="I48" s="16">
        <f>IFERROR(ROUND(MOD(SMALL('Batches'!$J$3:$J$302,44),1)*100000,0),"")</f>
        <v/>
      </c>
    </row>
    <row r="49">
      <c r="A49" s="18">
        <f>IF($I49="","",INDEX('Batches'!$D$1:$D$302,$I49))</f>
        <v/>
      </c>
      <c r="B49" s="16">
        <f>IF($I49="","",INDEX('Batches'!$I$1:$I$302,$I49))</f>
        <v/>
      </c>
      <c r="C49" s="8">
        <f>IF($I49="","",INDEX('Batches'!$A$1:$A$302,$I49))</f>
        <v/>
      </c>
      <c r="D49" s="8">
        <f>IF($I49="","",INDEX('Batches'!$B$1:$B$302,$I49))</f>
        <v/>
      </c>
      <c r="E49" s="8">
        <f>IF($I49="","",INDEX('Batches'!$C$1:$C$302,$I49))</f>
        <v/>
      </c>
      <c r="F49" s="8">
        <f>IF($I49="","",INDEX('Batches'!$G$1:$G$302,$I49))</f>
        <v/>
      </c>
      <c r="G49" s="16">
        <f>IF($I49="","",INDEX('Batches'!$H$1:$H$302,$I49))</f>
        <v/>
      </c>
      <c r="I49" s="16">
        <f>IFERROR(ROUND(MOD(SMALL('Batches'!$J$3:$J$302,45),1)*100000,0),"")</f>
        <v/>
      </c>
    </row>
    <row r="50">
      <c r="A50" s="18">
        <f>IF($I50="","",INDEX('Batches'!$D$1:$D$302,$I50))</f>
        <v/>
      </c>
      <c r="B50" s="16">
        <f>IF($I50="","",INDEX('Batches'!$I$1:$I$302,$I50))</f>
        <v/>
      </c>
      <c r="C50" s="8">
        <f>IF($I50="","",INDEX('Batches'!$A$1:$A$302,$I50))</f>
        <v/>
      </c>
      <c r="D50" s="8">
        <f>IF($I50="","",INDEX('Batches'!$B$1:$B$302,$I50))</f>
        <v/>
      </c>
      <c r="E50" s="8">
        <f>IF($I50="","",INDEX('Batches'!$C$1:$C$302,$I50))</f>
        <v/>
      </c>
      <c r="F50" s="8">
        <f>IF($I50="","",INDEX('Batches'!$G$1:$G$302,$I50))</f>
        <v/>
      </c>
      <c r="G50" s="16">
        <f>IF($I50="","",INDEX('Batches'!$H$1:$H$302,$I50))</f>
        <v/>
      </c>
      <c r="I50" s="16">
        <f>IFERROR(ROUND(MOD(SMALL('Batches'!$J$3:$J$302,46),1)*100000,0),"")</f>
        <v/>
      </c>
    </row>
    <row r="51">
      <c r="A51" s="18">
        <f>IF($I51="","",INDEX('Batches'!$D$1:$D$302,$I51))</f>
        <v/>
      </c>
      <c r="B51" s="16">
        <f>IF($I51="","",INDEX('Batches'!$I$1:$I$302,$I51))</f>
        <v/>
      </c>
      <c r="C51" s="8">
        <f>IF($I51="","",INDEX('Batches'!$A$1:$A$302,$I51))</f>
        <v/>
      </c>
      <c r="D51" s="8">
        <f>IF($I51="","",INDEX('Batches'!$B$1:$B$302,$I51))</f>
        <v/>
      </c>
      <c r="E51" s="8">
        <f>IF($I51="","",INDEX('Batches'!$C$1:$C$302,$I51))</f>
        <v/>
      </c>
      <c r="F51" s="8">
        <f>IF($I51="","",INDEX('Batches'!$G$1:$G$302,$I51))</f>
        <v/>
      </c>
      <c r="G51" s="16">
        <f>IF($I51="","",INDEX('Batches'!$H$1:$H$302,$I51))</f>
        <v/>
      </c>
      <c r="I51" s="16">
        <f>IFERROR(ROUND(MOD(SMALL('Batches'!$J$3:$J$302,47),1)*100000,0),"")</f>
        <v/>
      </c>
    </row>
    <row r="52">
      <c r="A52" s="18">
        <f>IF($I52="","",INDEX('Batches'!$D$1:$D$302,$I52))</f>
        <v/>
      </c>
      <c r="B52" s="16">
        <f>IF($I52="","",INDEX('Batches'!$I$1:$I$302,$I52))</f>
        <v/>
      </c>
      <c r="C52" s="8">
        <f>IF($I52="","",INDEX('Batches'!$A$1:$A$302,$I52))</f>
        <v/>
      </c>
      <c r="D52" s="8">
        <f>IF($I52="","",INDEX('Batches'!$B$1:$B$302,$I52))</f>
        <v/>
      </c>
      <c r="E52" s="8">
        <f>IF($I52="","",INDEX('Batches'!$C$1:$C$302,$I52))</f>
        <v/>
      </c>
      <c r="F52" s="8">
        <f>IF($I52="","",INDEX('Batches'!$G$1:$G$302,$I52))</f>
        <v/>
      </c>
      <c r="G52" s="16">
        <f>IF($I52="","",INDEX('Batches'!$H$1:$H$302,$I52))</f>
        <v/>
      </c>
      <c r="I52" s="16">
        <f>IFERROR(ROUND(MOD(SMALL('Batches'!$J$3:$J$302,48),1)*100000,0),"")</f>
        <v/>
      </c>
    </row>
    <row r="53">
      <c r="A53" s="18">
        <f>IF($I53="","",INDEX('Batches'!$D$1:$D$302,$I53))</f>
        <v/>
      </c>
      <c r="B53" s="16">
        <f>IF($I53="","",INDEX('Batches'!$I$1:$I$302,$I53))</f>
        <v/>
      </c>
      <c r="C53" s="8">
        <f>IF($I53="","",INDEX('Batches'!$A$1:$A$302,$I53))</f>
        <v/>
      </c>
      <c r="D53" s="8">
        <f>IF($I53="","",INDEX('Batches'!$B$1:$B$302,$I53))</f>
        <v/>
      </c>
      <c r="E53" s="8">
        <f>IF($I53="","",INDEX('Batches'!$C$1:$C$302,$I53))</f>
        <v/>
      </c>
      <c r="F53" s="8">
        <f>IF($I53="","",INDEX('Batches'!$G$1:$G$302,$I53))</f>
        <v/>
      </c>
      <c r="G53" s="16">
        <f>IF($I53="","",INDEX('Batches'!$H$1:$H$302,$I53))</f>
        <v/>
      </c>
      <c r="I53" s="16">
        <f>IFERROR(ROUND(MOD(SMALL('Batches'!$J$3:$J$302,49),1)*100000,0),"")</f>
        <v/>
      </c>
    </row>
    <row r="54">
      <c r="A54" s="18">
        <f>IF($I54="","",INDEX('Batches'!$D$1:$D$302,$I54))</f>
        <v/>
      </c>
      <c r="B54" s="16">
        <f>IF($I54="","",INDEX('Batches'!$I$1:$I$302,$I54))</f>
        <v/>
      </c>
      <c r="C54" s="8">
        <f>IF($I54="","",INDEX('Batches'!$A$1:$A$302,$I54))</f>
        <v/>
      </c>
      <c r="D54" s="8">
        <f>IF($I54="","",INDEX('Batches'!$B$1:$B$302,$I54))</f>
        <v/>
      </c>
      <c r="E54" s="8">
        <f>IF($I54="","",INDEX('Batches'!$C$1:$C$302,$I54))</f>
        <v/>
      </c>
      <c r="F54" s="8">
        <f>IF($I54="","",INDEX('Batches'!$G$1:$G$302,$I54))</f>
        <v/>
      </c>
      <c r="G54" s="16">
        <f>IF($I54="","",INDEX('Batches'!$H$1:$H$302,$I54))</f>
        <v/>
      </c>
      <c r="I54" s="16">
        <f>IFERROR(ROUND(MOD(SMALL('Batches'!$J$3:$J$302,50),1)*100000,0),"")</f>
        <v/>
      </c>
    </row>
    <row r="55">
      <c r="A55" s="18">
        <f>IF($I55="","",INDEX('Batches'!$D$1:$D$302,$I55))</f>
        <v/>
      </c>
      <c r="B55" s="16">
        <f>IF($I55="","",INDEX('Batches'!$I$1:$I$302,$I55))</f>
        <v/>
      </c>
      <c r="C55" s="8">
        <f>IF($I55="","",INDEX('Batches'!$A$1:$A$302,$I55))</f>
        <v/>
      </c>
      <c r="D55" s="8">
        <f>IF($I55="","",INDEX('Batches'!$B$1:$B$302,$I55))</f>
        <v/>
      </c>
      <c r="E55" s="8">
        <f>IF($I55="","",INDEX('Batches'!$C$1:$C$302,$I55))</f>
        <v/>
      </c>
      <c r="F55" s="8">
        <f>IF($I55="","",INDEX('Batches'!$G$1:$G$302,$I55))</f>
        <v/>
      </c>
      <c r="G55" s="16">
        <f>IF($I55="","",INDEX('Batches'!$H$1:$H$302,$I55))</f>
        <v/>
      </c>
      <c r="I55" s="16">
        <f>IFERROR(ROUND(MOD(SMALL('Batches'!$J$3:$J$302,51),1)*100000,0),"")</f>
        <v/>
      </c>
    </row>
    <row r="56">
      <c r="A56" s="18">
        <f>IF($I56="","",INDEX('Batches'!$D$1:$D$302,$I56))</f>
        <v/>
      </c>
      <c r="B56" s="16">
        <f>IF($I56="","",INDEX('Batches'!$I$1:$I$302,$I56))</f>
        <v/>
      </c>
      <c r="C56" s="8">
        <f>IF($I56="","",INDEX('Batches'!$A$1:$A$302,$I56))</f>
        <v/>
      </c>
      <c r="D56" s="8">
        <f>IF($I56="","",INDEX('Batches'!$B$1:$B$302,$I56))</f>
        <v/>
      </c>
      <c r="E56" s="8">
        <f>IF($I56="","",INDEX('Batches'!$C$1:$C$302,$I56))</f>
        <v/>
      </c>
      <c r="F56" s="8">
        <f>IF($I56="","",INDEX('Batches'!$G$1:$G$302,$I56))</f>
        <v/>
      </c>
      <c r="G56" s="16">
        <f>IF($I56="","",INDEX('Batches'!$H$1:$H$302,$I56))</f>
        <v/>
      </c>
      <c r="I56" s="16">
        <f>IFERROR(ROUND(MOD(SMALL('Batches'!$J$3:$J$302,52),1)*100000,0),"")</f>
        <v/>
      </c>
    </row>
    <row r="57">
      <c r="A57" s="18">
        <f>IF($I57="","",INDEX('Batches'!$D$1:$D$302,$I57))</f>
        <v/>
      </c>
      <c r="B57" s="16">
        <f>IF($I57="","",INDEX('Batches'!$I$1:$I$302,$I57))</f>
        <v/>
      </c>
      <c r="C57" s="8">
        <f>IF($I57="","",INDEX('Batches'!$A$1:$A$302,$I57))</f>
        <v/>
      </c>
      <c r="D57" s="8">
        <f>IF($I57="","",INDEX('Batches'!$B$1:$B$302,$I57))</f>
        <v/>
      </c>
      <c r="E57" s="8">
        <f>IF($I57="","",INDEX('Batches'!$C$1:$C$302,$I57))</f>
        <v/>
      </c>
      <c r="F57" s="8">
        <f>IF($I57="","",INDEX('Batches'!$G$1:$G$302,$I57))</f>
        <v/>
      </c>
      <c r="G57" s="16">
        <f>IF($I57="","",INDEX('Batches'!$H$1:$H$302,$I57))</f>
        <v/>
      </c>
      <c r="I57" s="16">
        <f>IFERROR(ROUND(MOD(SMALL('Batches'!$J$3:$J$302,53),1)*100000,0),"")</f>
        <v/>
      </c>
    </row>
    <row r="58">
      <c r="A58" s="18">
        <f>IF($I58="","",INDEX('Batches'!$D$1:$D$302,$I58))</f>
        <v/>
      </c>
      <c r="B58" s="16">
        <f>IF($I58="","",INDEX('Batches'!$I$1:$I$302,$I58))</f>
        <v/>
      </c>
      <c r="C58" s="8">
        <f>IF($I58="","",INDEX('Batches'!$A$1:$A$302,$I58))</f>
        <v/>
      </c>
      <c r="D58" s="8">
        <f>IF($I58="","",INDEX('Batches'!$B$1:$B$302,$I58))</f>
        <v/>
      </c>
      <c r="E58" s="8">
        <f>IF($I58="","",INDEX('Batches'!$C$1:$C$302,$I58))</f>
        <v/>
      </c>
      <c r="F58" s="8">
        <f>IF($I58="","",INDEX('Batches'!$G$1:$G$302,$I58))</f>
        <v/>
      </c>
      <c r="G58" s="16">
        <f>IF($I58="","",INDEX('Batches'!$H$1:$H$302,$I58))</f>
        <v/>
      </c>
      <c r="I58" s="16">
        <f>IFERROR(ROUND(MOD(SMALL('Batches'!$J$3:$J$302,54),1)*100000,0),"")</f>
        <v/>
      </c>
    </row>
    <row r="59">
      <c r="A59" s="18">
        <f>IF($I59="","",INDEX('Batches'!$D$1:$D$302,$I59))</f>
        <v/>
      </c>
      <c r="B59" s="16">
        <f>IF($I59="","",INDEX('Batches'!$I$1:$I$302,$I59))</f>
        <v/>
      </c>
      <c r="C59" s="8">
        <f>IF($I59="","",INDEX('Batches'!$A$1:$A$302,$I59))</f>
        <v/>
      </c>
      <c r="D59" s="8">
        <f>IF($I59="","",INDEX('Batches'!$B$1:$B$302,$I59))</f>
        <v/>
      </c>
      <c r="E59" s="8">
        <f>IF($I59="","",INDEX('Batches'!$C$1:$C$302,$I59))</f>
        <v/>
      </c>
      <c r="F59" s="8">
        <f>IF($I59="","",INDEX('Batches'!$G$1:$G$302,$I59))</f>
        <v/>
      </c>
      <c r="G59" s="16">
        <f>IF($I59="","",INDEX('Batches'!$H$1:$H$302,$I59))</f>
        <v/>
      </c>
      <c r="I59" s="16">
        <f>IFERROR(ROUND(MOD(SMALL('Batches'!$J$3:$J$302,55),1)*100000,0),"")</f>
        <v/>
      </c>
    </row>
    <row r="60">
      <c r="A60" s="18">
        <f>IF($I60="","",INDEX('Batches'!$D$1:$D$302,$I60))</f>
        <v/>
      </c>
      <c r="B60" s="16">
        <f>IF($I60="","",INDEX('Batches'!$I$1:$I$302,$I60))</f>
        <v/>
      </c>
      <c r="C60" s="8">
        <f>IF($I60="","",INDEX('Batches'!$A$1:$A$302,$I60))</f>
        <v/>
      </c>
      <c r="D60" s="8">
        <f>IF($I60="","",INDEX('Batches'!$B$1:$B$302,$I60))</f>
        <v/>
      </c>
      <c r="E60" s="8">
        <f>IF($I60="","",INDEX('Batches'!$C$1:$C$302,$I60))</f>
        <v/>
      </c>
      <c r="F60" s="8">
        <f>IF($I60="","",INDEX('Batches'!$G$1:$G$302,$I60))</f>
        <v/>
      </c>
      <c r="G60" s="16">
        <f>IF($I60="","",INDEX('Batches'!$H$1:$H$302,$I60))</f>
        <v/>
      </c>
      <c r="I60" s="16">
        <f>IFERROR(ROUND(MOD(SMALL('Batches'!$J$3:$J$302,56),1)*100000,0),"")</f>
        <v/>
      </c>
    </row>
    <row r="61">
      <c r="A61" s="18">
        <f>IF($I61="","",INDEX('Batches'!$D$1:$D$302,$I61))</f>
        <v/>
      </c>
      <c r="B61" s="16">
        <f>IF($I61="","",INDEX('Batches'!$I$1:$I$302,$I61))</f>
        <v/>
      </c>
      <c r="C61" s="8">
        <f>IF($I61="","",INDEX('Batches'!$A$1:$A$302,$I61))</f>
        <v/>
      </c>
      <c r="D61" s="8">
        <f>IF($I61="","",INDEX('Batches'!$B$1:$B$302,$I61))</f>
        <v/>
      </c>
      <c r="E61" s="8">
        <f>IF($I61="","",INDEX('Batches'!$C$1:$C$302,$I61))</f>
        <v/>
      </c>
      <c r="F61" s="8">
        <f>IF($I61="","",INDEX('Batches'!$G$1:$G$302,$I61))</f>
        <v/>
      </c>
      <c r="G61" s="16">
        <f>IF($I61="","",INDEX('Batches'!$H$1:$H$302,$I61))</f>
        <v/>
      </c>
      <c r="I61" s="16">
        <f>IFERROR(ROUND(MOD(SMALL('Batches'!$J$3:$J$302,57),1)*100000,0),"")</f>
        <v/>
      </c>
    </row>
    <row r="62">
      <c r="A62" s="18">
        <f>IF($I62="","",INDEX('Batches'!$D$1:$D$302,$I62))</f>
        <v/>
      </c>
      <c r="B62" s="16">
        <f>IF($I62="","",INDEX('Batches'!$I$1:$I$302,$I62))</f>
        <v/>
      </c>
      <c r="C62" s="8">
        <f>IF($I62="","",INDEX('Batches'!$A$1:$A$302,$I62))</f>
        <v/>
      </c>
      <c r="D62" s="8">
        <f>IF($I62="","",INDEX('Batches'!$B$1:$B$302,$I62))</f>
        <v/>
      </c>
      <c r="E62" s="8">
        <f>IF($I62="","",INDEX('Batches'!$C$1:$C$302,$I62))</f>
        <v/>
      </c>
      <c r="F62" s="8">
        <f>IF($I62="","",INDEX('Batches'!$G$1:$G$302,$I62))</f>
        <v/>
      </c>
      <c r="G62" s="16">
        <f>IF($I62="","",INDEX('Batches'!$H$1:$H$302,$I62))</f>
        <v/>
      </c>
      <c r="I62" s="16">
        <f>IFERROR(ROUND(MOD(SMALL('Batches'!$J$3:$J$302,58),1)*100000,0),"")</f>
        <v/>
      </c>
    </row>
    <row r="63">
      <c r="A63" s="18">
        <f>IF($I63="","",INDEX('Batches'!$D$1:$D$302,$I63))</f>
        <v/>
      </c>
      <c r="B63" s="16">
        <f>IF($I63="","",INDEX('Batches'!$I$1:$I$302,$I63))</f>
        <v/>
      </c>
      <c r="C63" s="8">
        <f>IF($I63="","",INDEX('Batches'!$A$1:$A$302,$I63))</f>
        <v/>
      </c>
      <c r="D63" s="8">
        <f>IF($I63="","",INDEX('Batches'!$B$1:$B$302,$I63))</f>
        <v/>
      </c>
      <c r="E63" s="8">
        <f>IF($I63="","",INDEX('Batches'!$C$1:$C$302,$I63))</f>
        <v/>
      </c>
      <c r="F63" s="8">
        <f>IF($I63="","",INDEX('Batches'!$G$1:$G$302,$I63))</f>
        <v/>
      </c>
      <c r="G63" s="16">
        <f>IF($I63="","",INDEX('Batches'!$H$1:$H$302,$I63))</f>
        <v/>
      </c>
      <c r="I63" s="16">
        <f>IFERROR(ROUND(MOD(SMALL('Batches'!$J$3:$J$302,59),1)*100000,0),"")</f>
        <v/>
      </c>
    </row>
    <row r="64">
      <c r="A64" s="18">
        <f>IF($I64="","",INDEX('Batches'!$D$1:$D$302,$I64))</f>
        <v/>
      </c>
      <c r="B64" s="16">
        <f>IF($I64="","",INDEX('Batches'!$I$1:$I$302,$I64))</f>
        <v/>
      </c>
      <c r="C64" s="8">
        <f>IF($I64="","",INDEX('Batches'!$A$1:$A$302,$I64))</f>
        <v/>
      </c>
      <c r="D64" s="8">
        <f>IF($I64="","",INDEX('Batches'!$B$1:$B$302,$I64))</f>
        <v/>
      </c>
      <c r="E64" s="8">
        <f>IF($I64="","",INDEX('Batches'!$C$1:$C$302,$I64))</f>
        <v/>
      </c>
      <c r="F64" s="8">
        <f>IF($I64="","",INDEX('Batches'!$G$1:$G$302,$I64))</f>
        <v/>
      </c>
      <c r="G64" s="16">
        <f>IF($I64="","",INDEX('Batches'!$H$1:$H$302,$I64))</f>
        <v/>
      </c>
      <c r="I64" s="16">
        <f>IFERROR(ROUND(MOD(SMALL('Batches'!$J$3:$J$302,60),1)*100000,0),"")</f>
        <v/>
      </c>
    </row>
    <row r="65">
      <c r="A65" s="18">
        <f>IF($I65="","",INDEX('Batches'!$D$1:$D$302,$I65))</f>
        <v/>
      </c>
      <c r="B65" s="16">
        <f>IF($I65="","",INDEX('Batches'!$I$1:$I$302,$I65))</f>
        <v/>
      </c>
      <c r="C65" s="8">
        <f>IF($I65="","",INDEX('Batches'!$A$1:$A$302,$I65))</f>
        <v/>
      </c>
      <c r="D65" s="8">
        <f>IF($I65="","",INDEX('Batches'!$B$1:$B$302,$I65))</f>
        <v/>
      </c>
      <c r="E65" s="8">
        <f>IF($I65="","",INDEX('Batches'!$C$1:$C$302,$I65))</f>
        <v/>
      </c>
      <c r="F65" s="8">
        <f>IF($I65="","",INDEX('Batches'!$G$1:$G$302,$I65))</f>
        <v/>
      </c>
      <c r="G65" s="16">
        <f>IF($I65="","",INDEX('Batches'!$H$1:$H$302,$I65))</f>
        <v/>
      </c>
      <c r="I65" s="16">
        <f>IFERROR(ROUND(MOD(SMALL('Batches'!$J$3:$J$302,61),1)*100000,0),"")</f>
        <v/>
      </c>
    </row>
    <row r="66">
      <c r="A66" s="18">
        <f>IF($I66="","",INDEX('Batches'!$D$1:$D$302,$I66))</f>
        <v/>
      </c>
      <c r="B66" s="16">
        <f>IF($I66="","",INDEX('Batches'!$I$1:$I$302,$I66))</f>
        <v/>
      </c>
      <c r="C66" s="8">
        <f>IF($I66="","",INDEX('Batches'!$A$1:$A$302,$I66))</f>
        <v/>
      </c>
      <c r="D66" s="8">
        <f>IF($I66="","",INDEX('Batches'!$B$1:$B$302,$I66))</f>
        <v/>
      </c>
      <c r="E66" s="8">
        <f>IF($I66="","",INDEX('Batches'!$C$1:$C$302,$I66))</f>
        <v/>
      </c>
      <c r="F66" s="8">
        <f>IF($I66="","",INDEX('Batches'!$G$1:$G$302,$I66))</f>
        <v/>
      </c>
      <c r="G66" s="16">
        <f>IF($I66="","",INDEX('Batches'!$H$1:$H$302,$I66))</f>
        <v/>
      </c>
      <c r="I66" s="16">
        <f>IFERROR(ROUND(MOD(SMALL('Batches'!$J$3:$J$302,62),1)*100000,0),"")</f>
        <v/>
      </c>
    </row>
    <row r="67">
      <c r="A67" s="18">
        <f>IF($I67="","",INDEX('Batches'!$D$1:$D$302,$I67))</f>
        <v/>
      </c>
      <c r="B67" s="16">
        <f>IF($I67="","",INDEX('Batches'!$I$1:$I$302,$I67))</f>
        <v/>
      </c>
      <c r="C67" s="8">
        <f>IF($I67="","",INDEX('Batches'!$A$1:$A$302,$I67))</f>
        <v/>
      </c>
      <c r="D67" s="8">
        <f>IF($I67="","",INDEX('Batches'!$B$1:$B$302,$I67))</f>
        <v/>
      </c>
      <c r="E67" s="8">
        <f>IF($I67="","",INDEX('Batches'!$C$1:$C$302,$I67))</f>
        <v/>
      </c>
      <c r="F67" s="8">
        <f>IF($I67="","",INDEX('Batches'!$G$1:$G$302,$I67))</f>
        <v/>
      </c>
      <c r="G67" s="16">
        <f>IF($I67="","",INDEX('Batches'!$H$1:$H$302,$I67))</f>
        <v/>
      </c>
      <c r="I67" s="16">
        <f>IFERROR(ROUND(MOD(SMALL('Batches'!$J$3:$J$302,63),1)*100000,0),"")</f>
        <v/>
      </c>
    </row>
    <row r="68">
      <c r="A68" s="18">
        <f>IF($I68="","",INDEX('Batches'!$D$1:$D$302,$I68))</f>
        <v/>
      </c>
      <c r="B68" s="16">
        <f>IF($I68="","",INDEX('Batches'!$I$1:$I$302,$I68))</f>
        <v/>
      </c>
      <c r="C68" s="8">
        <f>IF($I68="","",INDEX('Batches'!$A$1:$A$302,$I68))</f>
        <v/>
      </c>
      <c r="D68" s="8">
        <f>IF($I68="","",INDEX('Batches'!$B$1:$B$302,$I68))</f>
        <v/>
      </c>
      <c r="E68" s="8">
        <f>IF($I68="","",INDEX('Batches'!$C$1:$C$302,$I68))</f>
        <v/>
      </c>
      <c r="F68" s="8">
        <f>IF($I68="","",INDEX('Batches'!$G$1:$G$302,$I68))</f>
        <v/>
      </c>
      <c r="G68" s="16">
        <f>IF($I68="","",INDEX('Batches'!$H$1:$H$302,$I68))</f>
        <v/>
      </c>
      <c r="I68" s="16">
        <f>IFERROR(ROUND(MOD(SMALL('Batches'!$J$3:$J$302,64),1)*100000,0),"")</f>
        <v/>
      </c>
    </row>
    <row r="69">
      <c r="A69" s="18">
        <f>IF($I69="","",INDEX('Batches'!$D$1:$D$302,$I69))</f>
        <v/>
      </c>
      <c r="B69" s="16">
        <f>IF($I69="","",INDEX('Batches'!$I$1:$I$302,$I69))</f>
        <v/>
      </c>
      <c r="C69" s="8">
        <f>IF($I69="","",INDEX('Batches'!$A$1:$A$302,$I69))</f>
        <v/>
      </c>
      <c r="D69" s="8">
        <f>IF($I69="","",INDEX('Batches'!$B$1:$B$302,$I69))</f>
        <v/>
      </c>
      <c r="E69" s="8">
        <f>IF($I69="","",INDEX('Batches'!$C$1:$C$302,$I69))</f>
        <v/>
      </c>
      <c r="F69" s="8">
        <f>IF($I69="","",INDEX('Batches'!$G$1:$G$302,$I69))</f>
        <v/>
      </c>
      <c r="G69" s="16">
        <f>IF($I69="","",INDEX('Batches'!$H$1:$H$302,$I69))</f>
        <v/>
      </c>
      <c r="I69" s="16">
        <f>IFERROR(ROUND(MOD(SMALL('Batches'!$J$3:$J$302,65),1)*100000,0),"")</f>
        <v/>
      </c>
    </row>
    <row r="70">
      <c r="A70" s="18">
        <f>IF($I70="","",INDEX('Batches'!$D$1:$D$302,$I70))</f>
        <v/>
      </c>
      <c r="B70" s="16">
        <f>IF($I70="","",INDEX('Batches'!$I$1:$I$302,$I70))</f>
        <v/>
      </c>
      <c r="C70" s="8">
        <f>IF($I70="","",INDEX('Batches'!$A$1:$A$302,$I70))</f>
        <v/>
      </c>
      <c r="D70" s="8">
        <f>IF($I70="","",INDEX('Batches'!$B$1:$B$302,$I70))</f>
        <v/>
      </c>
      <c r="E70" s="8">
        <f>IF($I70="","",INDEX('Batches'!$C$1:$C$302,$I70))</f>
        <v/>
      </c>
      <c r="F70" s="8">
        <f>IF($I70="","",INDEX('Batches'!$G$1:$G$302,$I70))</f>
        <v/>
      </c>
      <c r="G70" s="16">
        <f>IF($I70="","",INDEX('Batches'!$H$1:$H$302,$I70))</f>
        <v/>
      </c>
      <c r="I70" s="16">
        <f>IFERROR(ROUND(MOD(SMALL('Batches'!$J$3:$J$302,66),1)*100000,0),"")</f>
        <v/>
      </c>
    </row>
    <row r="71">
      <c r="A71" s="18">
        <f>IF($I71="","",INDEX('Batches'!$D$1:$D$302,$I71))</f>
        <v/>
      </c>
      <c r="B71" s="16">
        <f>IF($I71="","",INDEX('Batches'!$I$1:$I$302,$I71))</f>
        <v/>
      </c>
      <c r="C71" s="8">
        <f>IF($I71="","",INDEX('Batches'!$A$1:$A$302,$I71))</f>
        <v/>
      </c>
      <c r="D71" s="8">
        <f>IF($I71="","",INDEX('Batches'!$B$1:$B$302,$I71))</f>
        <v/>
      </c>
      <c r="E71" s="8">
        <f>IF($I71="","",INDEX('Batches'!$C$1:$C$302,$I71))</f>
        <v/>
      </c>
      <c r="F71" s="8">
        <f>IF($I71="","",INDEX('Batches'!$G$1:$G$302,$I71))</f>
        <v/>
      </c>
      <c r="G71" s="16">
        <f>IF($I71="","",INDEX('Batches'!$H$1:$H$302,$I71))</f>
        <v/>
      </c>
      <c r="I71" s="16">
        <f>IFERROR(ROUND(MOD(SMALL('Batches'!$J$3:$J$302,67),1)*100000,0),"")</f>
        <v/>
      </c>
    </row>
    <row r="72">
      <c r="A72" s="18">
        <f>IF($I72="","",INDEX('Batches'!$D$1:$D$302,$I72))</f>
        <v/>
      </c>
      <c r="B72" s="16">
        <f>IF($I72="","",INDEX('Batches'!$I$1:$I$302,$I72))</f>
        <v/>
      </c>
      <c r="C72" s="8">
        <f>IF($I72="","",INDEX('Batches'!$A$1:$A$302,$I72))</f>
        <v/>
      </c>
      <c r="D72" s="8">
        <f>IF($I72="","",INDEX('Batches'!$B$1:$B$302,$I72))</f>
        <v/>
      </c>
      <c r="E72" s="8">
        <f>IF($I72="","",INDEX('Batches'!$C$1:$C$302,$I72))</f>
        <v/>
      </c>
      <c r="F72" s="8">
        <f>IF($I72="","",INDEX('Batches'!$G$1:$G$302,$I72))</f>
        <v/>
      </c>
      <c r="G72" s="16">
        <f>IF($I72="","",INDEX('Batches'!$H$1:$H$302,$I72))</f>
        <v/>
      </c>
      <c r="I72" s="16">
        <f>IFERROR(ROUND(MOD(SMALL('Batches'!$J$3:$J$302,68),1)*100000,0),"")</f>
        <v/>
      </c>
    </row>
    <row r="73">
      <c r="A73" s="18">
        <f>IF($I73="","",INDEX('Batches'!$D$1:$D$302,$I73))</f>
        <v/>
      </c>
      <c r="B73" s="16">
        <f>IF($I73="","",INDEX('Batches'!$I$1:$I$302,$I73))</f>
        <v/>
      </c>
      <c r="C73" s="8">
        <f>IF($I73="","",INDEX('Batches'!$A$1:$A$302,$I73))</f>
        <v/>
      </c>
      <c r="D73" s="8">
        <f>IF($I73="","",INDEX('Batches'!$B$1:$B$302,$I73))</f>
        <v/>
      </c>
      <c r="E73" s="8">
        <f>IF($I73="","",INDEX('Batches'!$C$1:$C$302,$I73))</f>
        <v/>
      </c>
      <c r="F73" s="8">
        <f>IF($I73="","",INDEX('Batches'!$G$1:$G$302,$I73))</f>
        <v/>
      </c>
      <c r="G73" s="16">
        <f>IF($I73="","",INDEX('Batches'!$H$1:$H$302,$I73))</f>
        <v/>
      </c>
      <c r="I73" s="16">
        <f>IFERROR(ROUND(MOD(SMALL('Batches'!$J$3:$J$302,69),1)*100000,0),"")</f>
        <v/>
      </c>
    </row>
    <row r="74">
      <c r="A74" s="18">
        <f>IF($I74="","",INDEX('Batches'!$D$1:$D$302,$I74))</f>
        <v/>
      </c>
      <c r="B74" s="16">
        <f>IF($I74="","",INDEX('Batches'!$I$1:$I$302,$I74))</f>
        <v/>
      </c>
      <c r="C74" s="8">
        <f>IF($I74="","",INDEX('Batches'!$A$1:$A$302,$I74))</f>
        <v/>
      </c>
      <c r="D74" s="8">
        <f>IF($I74="","",INDEX('Batches'!$B$1:$B$302,$I74))</f>
        <v/>
      </c>
      <c r="E74" s="8">
        <f>IF($I74="","",INDEX('Batches'!$C$1:$C$302,$I74))</f>
        <v/>
      </c>
      <c r="F74" s="8">
        <f>IF($I74="","",INDEX('Batches'!$G$1:$G$302,$I74))</f>
        <v/>
      </c>
      <c r="G74" s="16">
        <f>IF($I74="","",INDEX('Batches'!$H$1:$H$302,$I74))</f>
        <v/>
      </c>
      <c r="I74" s="16">
        <f>IFERROR(ROUND(MOD(SMALL('Batches'!$J$3:$J$302,70),1)*100000,0),"")</f>
        <v/>
      </c>
    </row>
    <row r="75">
      <c r="A75" s="18">
        <f>IF($I75="","",INDEX('Batches'!$D$1:$D$302,$I75))</f>
        <v/>
      </c>
      <c r="B75" s="16">
        <f>IF($I75="","",INDEX('Batches'!$I$1:$I$302,$I75))</f>
        <v/>
      </c>
      <c r="C75" s="8">
        <f>IF($I75="","",INDEX('Batches'!$A$1:$A$302,$I75))</f>
        <v/>
      </c>
      <c r="D75" s="8">
        <f>IF($I75="","",INDEX('Batches'!$B$1:$B$302,$I75))</f>
        <v/>
      </c>
      <c r="E75" s="8">
        <f>IF($I75="","",INDEX('Batches'!$C$1:$C$302,$I75))</f>
        <v/>
      </c>
      <c r="F75" s="8">
        <f>IF($I75="","",INDEX('Batches'!$G$1:$G$302,$I75))</f>
        <v/>
      </c>
      <c r="G75" s="16">
        <f>IF($I75="","",INDEX('Batches'!$H$1:$H$302,$I75))</f>
        <v/>
      </c>
      <c r="I75" s="16">
        <f>IFERROR(ROUND(MOD(SMALL('Batches'!$J$3:$J$302,71),1)*100000,0),"")</f>
        <v/>
      </c>
    </row>
    <row r="76">
      <c r="A76" s="18">
        <f>IF($I76="","",INDEX('Batches'!$D$1:$D$302,$I76))</f>
        <v/>
      </c>
      <c r="B76" s="16">
        <f>IF($I76="","",INDEX('Batches'!$I$1:$I$302,$I76))</f>
        <v/>
      </c>
      <c r="C76" s="8">
        <f>IF($I76="","",INDEX('Batches'!$A$1:$A$302,$I76))</f>
        <v/>
      </c>
      <c r="D76" s="8">
        <f>IF($I76="","",INDEX('Batches'!$B$1:$B$302,$I76))</f>
        <v/>
      </c>
      <c r="E76" s="8">
        <f>IF($I76="","",INDEX('Batches'!$C$1:$C$302,$I76))</f>
        <v/>
      </c>
      <c r="F76" s="8">
        <f>IF($I76="","",INDEX('Batches'!$G$1:$G$302,$I76))</f>
        <v/>
      </c>
      <c r="G76" s="16">
        <f>IF($I76="","",INDEX('Batches'!$H$1:$H$302,$I76))</f>
        <v/>
      </c>
      <c r="I76" s="16">
        <f>IFERROR(ROUND(MOD(SMALL('Batches'!$J$3:$J$302,72),1)*100000,0),"")</f>
        <v/>
      </c>
    </row>
    <row r="77">
      <c r="A77" s="18">
        <f>IF($I77="","",INDEX('Batches'!$D$1:$D$302,$I77))</f>
        <v/>
      </c>
      <c r="B77" s="16">
        <f>IF($I77="","",INDEX('Batches'!$I$1:$I$302,$I77))</f>
        <v/>
      </c>
      <c r="C77" s="8">
        <f>IF($I77="","",INDEX('Batches'!$A$1:$A$302,$I77))</f>
        <v/>
      </c>
      <c r="D77" s="8">
        <f>IF($I77="","",INDEX('Batches'!$B$1:$B$302,$I77))</f>
        <v/>
      </c>
      <c r="E77" s="8">
        <f>IF($I77="","",INDEX('Batches'!$C$1:$C$302,$I77))</f>
        <v/>
      </c>
      <c r="F77" s="8">
        <f>IF($I77="","",INDEX('Batches'!$G$1:$G$302,$I77))</f>
        <v/>
      </c>
      <c r="G77" s="16">
        <f>IF($I77="","",INDEX('Batches'!$H$1:$H$302,$I77))</f>
        <v/>
      </c>
      <c r="I77" s="16">
        <f>IFERROR(ROUND(MOD(SMALL('Batches'!$J$3:$J$302,73),1)*100000,0),"")</f>
        <v/>
      </c>
    </row>
    <row r="78">
      <c r="A78" s="18">
        <f>IF($I78="","",INDEX('Batches'!$D$1:$D$302,$I78))</f>
        <v/>
      </c>
      <c r="B78" s="16">
        <f>IF($I78="","",INDEX('Batches'!$I$1:$I$302,$I78))</f>
        <v/>
      </c>
      <c r="C78" s="8">
        <f>IF($I78="","",INDEX('Batches'!$A$1:$A$302,$I78))</f>
        <v/>
      </c>
      <c r="D78" s="8">
        <f>IF($I78="","",INDEX('Batches'!$B$1:$B$302,$I78))</f>
        <v/>
      </c>
      <c r="E78" s="8">
        <f>IF($I78="","",INDEX('Batches'!$C$1:$C$302,$I78))</f>
        <v/>
      </c>
      <c r="F78" s="8">
        <f>IF($I78="","",INDEX('Batches'!$G$1:$G$302,$I78))</f>
        <v/>
      </c>
      <c r="G78" s="16">
        <f>IF($I78="","",INDEX('Batches'!$H$1:$H$302,$I78))</f>
        <v/>
      </c>
      <c r="I78" s="16">
        <f>IFERROR(ROUND(MOD(SMALL('Batches'!$J$3:$J$302,74),1)*100000,0),"")</f>
        <v/>
      </c>
    </row>
    <row r="79">
      <c r="A79" s="18">
        <f>IF($I79="","",INDEX('Batches'!$D$1:$D$302,$I79))</f>
        <v/>
      </c>
      <c r="B79" s="16">
        <f>IF($I79="","",INDEX('Batches'!$I$1:$I$302,$I79))</f>
        <v/>
      </c>
      <c r="C79" s="8">
        <f>IF($I79="","",INDEX('Batches'!$A$1:$A$302,$I79))</f>
        <v/>
      </c>
      <c r="D79" s="8">
        <f>IF($I79="","",INDEX('Batches'!$B$1:$B$302,$I79))</f>
        <v/>
      </c>
      <c r="E79" s="8">
        <f>IF($I79="","",INDEX('Batches'!$C$1:$C$302,$I79))</f>
        <v/>
      </c>
      <c r="F79" s="8">
        <f>IF($I79="","",INDEX('Batches'!$G$1:$G$302,$I79))</f>
        <v/>
      </c>
      <c r="G79" s="16">
        <f>IF($I79="","",INDEX('Batches'!$H$1:$H$302,$I79))</f>
        <v/>
      </c>
      <c r="I79" s="16">
        <f>IFERROR(ROUND(MOD(SMALL('Batches'!$J$3:$J$302,75),1)*100000,0),"")</f>
        <v/>
      </c>
    </row>
    <row r="80">
      <c r="A80" s="18">
        <f>IF($I80="","",INDEX('Batches'!$D$1:$D$302,$I80))</f>
        <v/>
      </c>
      <c r="B80" s="16">
        <f>IF($I80="","",INDEX('Batches'!$I$1:$I$302,$I80))</f>
        <v/>
      </c>
      <c r="C80" s="8">
        <f>IF($I80="","",INDEX('Batches'!$A$1:$A$302,$I80))</f>
        <v/>
      </c>
      <c r="D80" s="8">
        <f>IF($I80="","",INDEX('Batches'!$B$1:$B$302,$I80))</f>
        <v/>
      </c>
      <c r="E80" s="8">
        <f>IF($I80="","",INDEX('Batches'!$C$1:$C$302,$I80))</f>
        <v/>
      </c>
      <c r="F80" s="8">
        <f>IF($I80="","",INDEX('Batches'!$G$1:$G$302,$I80))</f>
        <v/>
      </c>
      <c r="G80" s="16">
        <f>IF($I80="","",INDEX('Batches'!$H$1:$H$302,$I80))</f>
        <v/>
      </c>
      <c r="I80" s="16">
        <f>IFERROR(ROUND(MOD(SMALL('Batches'!$J$3:$J$302,76),1)*100000,0),"")</f>
        <v/>
      </c>
    </row>
    <row r="81">
      <c r="A81" s="18">
        <f>IF($I81="","",INDEX('Batches'!$D$1:$D$302,$I81))</f>
        <v/>
      </c>
      <c r="B81" s="16">
        <f>IF($I81="","",INDEX('Batches'!$I$1:$I$302,$I81))</f>
        <v/>
      </c>
      <c r="C81" s="8">
        <f>IF($I81="","",INDEX('Batches'!$A$1:$A$302,$I81))</f>
        <v/>
      </c>
      <c r="D81" s="8">
        <f>IF($I81="","",INDEX('Batches'!$B$1:$B$302,$I81))</f>
        <v/>
      </c>
      <c r="E81" s="8">
        <f>IF($I81="","",INDEX('Batches'!$C$1:$C$302,$I81))</f>
        <v/>
      </c>
      <c r="F81" s="8">
        <f>IF($I81="","",INDEX('Batches'!$G$1:$G$302,$I81))</f>
        <v/>
      </c>
      <c r="G81" s="16">
        <f>IF($I81="","",INDEX('Batches'!$H$1:$H$302,$I81))</f>
        <v/>
      </c>
      <c r="I81" s="16">
        <f>IFERROR(ROUND(MOD(SMALL('Batches'!$J$3:$J$302,77),1)*100000,0),"")</f>
        <v/>
      </c>
    </row>
    <row r="82">
      <c r="A82" s="18">
        <f>IF($I82="","",INDEX('Batches'!$D$1:$D$302,$I82))</f>
        <v/>
      </c>
      <c r="B82" s="16">
        <f>IF($I82="","",INDEX('Batches'!$I$1:$I$302,$I82))</f>
        <v/>
      </c>
      <c r="C82" s="8">
        <f>IF($I82="","",INDEX('Batches'!$A$1:$A$302,$I82))</f>
        <v/>
      </c>
      <c r="D82" s="8">
        <f>IF($I82="","",INDEX('Batches'!$B$1:$B$302,$I82))</f>
        <v/>
      </c>
      <c r="E82" s="8">
        <f>IF($I82="","",INDEX('Batches'!$C$1:$C$302,$I82))</f>
        <v/>
      </c>
      <c r="F82" s="8">
        <f>IF($I82="","",INDEX('Batches'!$G$1:$G$302,$I82))</f>
        <v/>
      </c>
      <c r="G82" s="16">
        <f>IF($I82="","",INDEX('Batches'!$H$1:$H$302,$I82))</f>
        <v/>
      </c>
      <c r="I82" s="16">
        <f>IFERROR(ROUND(MOD(SMALL('Batches'!$J$3:$J$302,78),1)*100000,0),"")</f>
        <v/>
      </c>
    </row>
    <row r="83">
      <c r="A83" s="18">
        <f>IF($I83="","",INDEX('Batches'!$D$1:$D$302,$I83))</f>
        <v/>
      </c>
      <c r="B83" s="16">
        <f>IF($I83="","",INDEX('Batches'!$I$1:$I$302,$I83))</f>
        <v/>
      </c>
      <c r="C83" s="8">
        <f>IF($I83="","",INDEX('Batches'!$A$1:$A$302,$I83))</f>
        <v/>
      </c>
      <c r="D83" s="8">
        <f>IF($I83="","",INDEX('Batches'!$B$1:$B$302,$I83))</f>
        <v/>
      </c>
      <c r="E83" s="8">
        <f>IF($I83="","",INDEX('Batches'!$C$1:$C$302,$I83))</f>
        <v/>
      </c>
      <c r="F83" s="8">
        <f>IF($I83="","",INDEX('Batches'!$G$1:$G$302,$I83))</f>
        <v/>
      </c>
      <c r="G83" s="16">
        <f>IF($I83="","",INDEX('Batches'!$H$1:$H$302,$I83))</f>
        <v/>
      </c>
      <c r="I83" s="16">
        <f>IFERROR(ROUND(MOD(SMALL('Batches'!$J$3:$J$302,79),1)*100000,0),"")</f>
        <v/>
      </c>
    </row>
    <row r="84">
      <c r="A84" s="18">
        <f>IF($I84="","",INDEX('Batches'!$D$1:$D$302,$I84))</f>
        <v/>
      </c>
      <c r="B84" s="16">
        <f>IF($I84="","",INDEX('Batches'!$I$1:$I$302,$I84))</f>
        <v/>
      </c>
      <c r="C84" s="8">
        <f>IF($I84="","",INDEX('Batches'!$A$1:$A$302,$I84))</f>
        <v/>
      </c>
      <c r="D84" s="8">
        <f>IF($I84="","",INDEX('Batches'!$B$1:$B$302,$I84))</f>
        <v/>
      </c>
      <c r="E84" s="8">
        <f>IF($I84="","",INDEX('Batches'!$C$1:$C$302,$I84))</f>
        <v/>
      </c>
      <c r="F84" s="8">
        <f>IF($I84="","",INDEX('Batches'!$G$1:$G$302,$I84))</f>
        <v/>
      </c>
      <c r="G84" s="16">
        <f>IF($I84="","",INDEX('Batches'!$H$1:$H$302,$I84))</f>
        <v/>
      </c>
      <c r="I84" s="16">
        <f>IFERROR(ROUND(MOD(SMALL('Batches'!$J$3:$J$302,80),1)*100000,0),"")</f>
        <v/>
      </c>
    </row>
    <row r="85">
      <c r="A85" s="18">
        <f>IF($I85="","",INDEX('Batches'!$D$1:$D$302,$I85))</f>
        <v/>
      </c>
      <c r="B85" s="16">
        <f>IF($I85="","",INDEX('Batches'!$I$1:$I$302,$I85))</f>
        <v/>
      </c>
      <c r="C85" s="8">
        <f>IF($I85="","",INDEX('Batches'!$A$1:$A$302,$I85))</f>
        <v/>
      </c>
      <c r="D85" s="8">
        <f>IF($I85="","",INDEX('Batches'!$B$1:$B$302,$I85))</f>
        <v/>
      </c>
      <c r="E85" s="8">
        <f>IF($I85="","",INDEX('Batches'!$C$1:$C$302,$I85))</f>
        <v/>
      </c>
      <c r="F85" s="8">
        <f>IF($I85="","",INDEX('Batches'!$G$1:$G$302,$I85))</f>
        <v/>
      </c>
      <c r="G85" s="16">
        <f>IF($I85="","",INDEX('Batches'!$H$1:$H$302,$I85))</f>
        <v/>
      </c>
      <c r="I85" s="16">
        <f>IFERROR(ROUND(MOD(SMALL('Batches'!$J$3:$J$302,81),1)*100000,0),"")</f>
        <v/>
      </c>
    </row>
    <row r="86">
      <c r="A86" s="18">
        <f>IF($I86="","",INDEX('Batches'!$D$1:$D$302,$I86))</f>
        <v/>
      </c>
      <c r="B86" s="16">
        <f>IF($I86="","",INDEX('Batches'!$I$1:$I$302,$I86))</f>
        <v/>
      </c>
      <c r="C86" s="8">
        <f>IF($I86="","",INDEX('Batches'!$A$1:$A$302,$I86))</f>
        <v/>
      </c>
      <c r="D86" s="8">
        <f>IF($I86="","",INDEX('Batches'!$B$1:$B$302,$I86))</f>
        <v/>
      </c>
      <c r="E86" s="8">
        <f>IF($I86="","",INDEX('Batches'!$C$1:$C$302,$I86))</f>
        <v/>
      </c>
      <c r="F86" s="8">
        <f>IF($I86="","",INDEX('Batches'!$G$1:$G$302,$I86))</f>
        <v/>
      </c>
      <c r="G86" s="16">
        <f>IF($I86="","",INDEX('Batches'!$H$1:$H$302,$I86))</f>
        <v/>
      </c>
      <c r="I86" s="16">
        <f>IFERROR(ROUND(MOD(SMALL('Batches'!$J$3:$J$302,82),1)*100000,0),"")</f>
        <v/>
      </c>
    </row>
    <row r="87">
      <c r="A87" s="18">
        <f>IF($I87="","",INDEX('Batches'!$D$1:$D$302,$I87))</f>
        <v/>
      </c>
      <c r="B87" s="16">
        <f>IF($I87="","",INDEX('Batches'!$I$1:$I$302,$I87))</f>
        <v/>
      </c>
      <c r="C87" s="8">
        <f>IF($I87="","",INDEX('Batches'!$A$1:$A$302,$I87))</f>
        <v/>
      </c>
      <c r="D87" s="8">
        <f>IF($I87="","",INDEX('Batches'!$B$1:$B$302,$I87))</f>
        <v/>
      </c>
      <c r="E87" s="8">
        <f>IF($I87="","",INDEX('Batches'!$C$1:$C$302,$I87))</f>
        <v/>
      </c>
      <c r="F87" s="8">
        <f>IF($I87="","",INDEX('Batches'!$G$1:$G$302,$I87))</f>
        <v/>
      </c>
      <c r="G87" s="16">
        <f>IF($I87="","",INDEX('Batches'!$H$1:$H$302,$I87))</f>
        <v/>
      </c>
      <c r="I87" s="16">
        <f>IFERROR(ROUND(MOD(SMALL('Batches'!$J$3:$J$302,83),1)*100000,0),"")</f>
        <v/>
      </c>
    </row>
    <row r="88">
      <c r="A88" s="18">
        <f>IF($I88="","",INDEX('Batches'!$D$1:$D$302,$I88))</f>
        <v/>
      </c>
      <c r="B88" s="16">
        <f>IF($I88="","",INDEX('Batches'!$I$1:$I$302,$I88))</f>
        <v/>
      </c>
      <c r="C88" s="8">
        <f>IF($I88="","",INDEX('Batches'!$A$1:$A$302,$I88))</f>
        <v/>
      </c>
      <c r="D88" s="8">
        <f>IF($I88="","",INDEX('Batches'!$B$1:$B$302,$I88))</f>
        <v/>
      </c>
      <c r="E88" s="8">
        <f>IF($I88="","",INDEX('Batches'!$C$1:$C$302,$I88))</f>
        <v/>
      </c>
      <c r="F88" s="8">
        <f>IF($I88="","",INDEX('Batches'!$G$1:$G$302,$I88))</f>
        <v/>
      </c>
      <c r="G88" s="16">
        <f>IF($I88="","",INDEX('Batches'!$H$1:$H$302,$I88))</f>
        <v/>
      </c>
      <c r="I88" s="16">
        <f>IFERROR(ROUND(MOD(SMALL('Batches'!$J$3:$J$302,84),1)*100000,0),"")</f>
        <v/>
      </c>
    </row>
    <row r="89">
      <c r="A89" s="18">
        <f>IF($I89="","",INDEX('Batches'!$D$1:$D$302,$I89))</f>
        <v/>
      </c>
      <c r="B89" s="16">
        <f>IF($I89="","",INDEX('Batches'!$I$1:$I$302,$I89))</f>
        <v/>
      </c>
      <c r="C89" s="8">
        <f>IF($I89="","",INDEX('Batches'!$A$1:$A$302,$I89))</f>
        <v/>
      </c>
      <c r="D89" s="8">
        <f>IF($I89="","",INDEX('Batches'!$B$1:$B$302,$I89))</f>
        <v/>
      </c>
      <c r="E89" s="8">
        <f>IF($I89="","",INDEX('Batches'!$C$1:$C$302,$I89))</f>
        <v/>
      </c>
      <c r="F89" s="8">
        <f>IF($I89="","",INDEX('Batches'!$G$1:$G$302,$I89))</f>
        <v/>
      </c>
      <c r="G89" s="16">
        <f>IF($I89="","",INDEX('Batches'!$H$1:$H$302,$I89))</f>
        <v/>
      </c>
      <c r="I89" s="16">
        <f>IFERROR(ROUND(MOD(SMALL('Batches'!$J$3:$J$302,85),1)*100000,0),"")</f>
        <v/>
      </c>
    </row>
    <row r="90">
      <c r="A90" s="18">
        <f>IF($I90="","",INDEX('Batches'!$D$1:$D$302,$I90))</f>
        <v/>
      </c>
      <c r="B90" s="16">
        <f>IF($I90="","",INDEX('Batches'!$I$1:$I$302,$I90))</f>
        <v/>
      </c>
      <c r="C90" s="8">
        <f>IF($I90="","",INDEX('Batches'!$A$1:$A$302,$I90))</f>
        <v/>
      </c>
      <c r="D90" s="8">
        <f>IF($I90="","",INDEX('Batches'!$B$1:$B$302,$I90))</f>
        <v/>
      </c>
      <c r="E90" s="8">
        <f>IF($I90="","",INDEX('Batches'!$C$1:$C$302,$I90))</f>
        <v/>
      </c>
      <c r="F90" s="8">
        <f>IF($I90="","",INDEX('Batches'!$G$1:$G$302,$I90))</f>
        <v/>
      </c>
      <c r="G90" s="16">
        <f>IF($I90="","",INDEX('Batches'!$H$1:$H$302,$I90))</f>
        <v/>
      </c>
      <c r="I90" s="16">
        <f>IFERROR(ROUND(MOD(SMALL('Batches'!$J$3:$J$302,86),1)*100000,0),"")</f>
        <v/>
      </c>
    </row>
    <row r="91">
      <c r="A91" s="18">
        <f>IF($I91="","",INDEX('Batches'!$D$1:$D$302,$I91))</f>
        <v/>
      </c>
      <c r="B91" s="16">
        <f>IF($I91="","",INDEX('Batches'!$I$1:$I$302,$I91))</f>
        <v/>
      </c>
      <c r="C91" s="8">
        <f>IF($I91="","",INDEX('Batches'!$A$1:$A$302,$I91))</f>
        <v/>
      </c>
      <c r="D91" s="8">
        <f>IF($I91="","",INDEX('Batches'!$B$1:$B$302,$I91))</f>
        <v/>
      </c>
      <c r="E91" s="8">
        <f>IF($I91="","",INDEX('Batches'!$C$1:$C$302,$I91))</f>
        <v/>
      </c>
      <c r="F91" s="8">
        <f>IF($I91="","",INDEX('Batches'!$G$1:$G$302,$I91))</f>
        <v/>
      </c>
      <c r="G91" s="16">
        <f>IF($I91="","",INDEX('Batches'!$H$1:$H$302,$I91))</f>
        <v/>
      </c>
      <c r="I91" s="16">
        <f>IFERROR(ROUND(MOD(SMALL('Batches'!$J$3:$J$302,87),1)*100000,0),"")</f>
        <v/>
      </c>
    </row>
    <row r="92">
      <c r="A92" s="18">
        <f>IF($I92="","",INDEX('Batches'!$D$1:$D$302,$I92))</f>
        <v/>
      </c>
      <c r="B92" s="16">
        <f>IF($I92="","",INDEX('Batches'!$I$1:$I$302,$I92))</f>
        <v/>
      </c>
      <c r="C92" s="8">
        <f>IF($I92="","",INDEX('Batches'!$A$1:$A$302,$I92))</f>
        <v/>
      </c>
      <c r="D92" s="8">
        <f>IF($I92="","",INDEX('Batches'!$B$1:$B$302,$I92))</f>
        <v/>
      </c>
      <c r="E92" s="8">
        <f>IF($I92="","",INDEX('Batches'!$C$1:$C$302,$I92))</f>
        <v/>
      </c>
      <c r="F92" s="8">
        <f>IF($I92="","",INDEX('Batches'!$G$1:$G$302,$I92))</f>
        <v/>
      </c>
      <c r="G92" s="16">
        <f>IF($I92="","",INDEX('Batches'!$H$1:$H$302,$I92))</f>
        <v/>
      </c>
      <c r="I92" s="16">
        <f>IFERROR(ROUND(MOD(SMALL('Batches'!$J$3:$J$302,88),1)*100000,0),"")</f>
        <v/>
      </c>
    </row>
    <row r="93">
      <c r="A93" s="18">
        <f>IF($I93="","",INDEX('Batches'!$D$1:$D$302,$I93))</f>
        <v/>
      </c>
      <c r="B93" s="16">
        <f>IF($I93="","",INDEX('Batches'!$I$1:$I$302,$I93))</f>
        <v/>
      </c>
      <c r="C93" s="8">
        <f>IF($I93="","",INDEX('Batches'!$A$1:$A$302,$I93))</f>
        <v/>
      </c>
      <c r="D93" s="8">
        <f>IF($I93="","",INDEX('Batches'!$B$1:$B$302,$I93))</f>
        <v/>
      </c>
      <c r="E93" s="8">
        <f>IF($I93="","",INDEX('Batches'!$C$1:$C$302,$I93))</f>
        <v/>
      </c>
      <c r="F93" s="8">
        <f>IF($I93="","",INDEX('Batches'!$G$1:$G$302,$I93))</f>
        <v/>
      </c>
      <c r="G93" s="16">
        <f>IF($I93="","",INDEX('Batches'!$H$1:$H$302,$I93))</f>
        <v/>
      </c>
      <c r="I93" s="16">
        <f>IFERROR(ROUND(MOD(SMALL('Batches'!$J$3:$J$302,89),1)*100000,0),"")</f>
        <v/>
      </c>
    </row>
    <row r="94">
      <c r="A94" s="18">
        <f>IF($I94="","",INDEX('Batches'!$D$1:$D$302,$I94))</f>
        <v/>
      </c>
      <c r="B94" s="16">
        <f>IF($I94="","",INDEX('Batches'!$I$1:$I$302,$I94))</f>
        <v/>
      </c>
      <c r="C94" s="8">
        <f>IF($I94="","",INDEX('Batches'!$A$1:$A$302,$I94))</f>
        <v/>
      </c>
      <c r="D94" s="8">
        <f>IF($I94="","",INDEX('Batches'!$B$1:$B$302,$I94))</f>
        <v/>
      </c>
      <c r="E94" s="8">
        <f>IF($I94="","",INDEX('Batches'!$C$1:$C$302,$I94))</f>
        <v/>
      </c>
      <c r="F94" s="8">
        <f>IF($I94="","",INDEX('Batches'!$G$1:$G$302,$I94))</f>
        <v/>
      </c>
      <c r="G94" s="16">
        <f>IF($I94="","",INDEX('Batches'!$H$1:$H$302,$I94))</f>
        <v/>
      </c>
      <c r="I94" s="16">
        <f>IFERROR(ROUND(MOD(SMALL('Batches'!$J$3:$J$302,90),1)*100000,0),"")</f>
        <v/>
      </c>
    </row>
    <row r="95">
      <c r="A95" s="18">
        <f>IF($I95="","",INDEX('Batches'!$D$1:$D$302,$I95))</f>
        <v/>
      </c>
      <c r="B95" s="16">
        <f>IF($I95="","",INDEX('Batches'!$I$1:$I$302,$I95))</f>
        <v/>
      </c>
      <c r="C95" s="8">
        <f>IF($I95="","",INDEX('Batches'!$A$1:$A$302,$I95))</f>
        <v/>
      </c>
      <c r="D95" s="8">
        <f>IF($I95="","",INDEX('Batches'!$B$1:$B$302,$I95))</f>
        <v/>
      </c>
      <c r="E95" s="8">
        <f>IF($I95="","",INDEX('Batches'!$C$1:$C$302,$I95))</f>
        <v/>
      </c>
      <c r="F95" s="8">
        <f>IF($I95="","",INDEX('Batches'!$G$1:$G$302,$I95))</f>
        <v/>
      </c>
      <c r="G95" s="16">
        <f>IF($I95="","",INDEX('Batches'!$H$1:$H$302,$I95))</f>
        <v/>
      </c>
      <c r="I95" s="16">
        <f>IFERROR(ROUND(MOD(SMALL('Batches'!$J$3:$J$302,91),1)*100000,0),"")</f>
        <v/>
      </c>
    </row>
    <row r="96">
      <c r="A96" s="18">
        <f>IF($I96="","",INDEX('Batches'!$D$1:$D$302,$I96))</f>
        <v/>
      </c>
      <c r="B96" s="16">
        <f>IF($I96="","",INDEX('Batches'!$I$1:$I$302,$I96))</f>
        <v/>
      </c>
      <c r="C96" s="8">
        <f>IF($I96="","",INDEX('Batches'!$A$1:$A$302,$I96))</f>
        <v/>
      </c>
      <c r="D96" s="8">
        <f>IF($I96="","",INDEX('Batches'!$B$1:$B$302,$I96))</f>
        <v/>
      </c>
      <c r="E96" s="8">
        <f>IF($I96="","",INDEX('Batches'!$C$1:$C$302,$I96))</f>
        <v/>
      </c>
      <c r="F96" s="8">
        <f>IF($I96="","",INDEX('Batches'!$G$1:$G$302,$I96))</f>
        <v/>
      </c>
      <c r="G96" s="16">
        <f>IF($I96="","",INDEX('Batches'!$H$1:$H$302,$I96))</f>
        <v/>
      </c>
      <c r="I96" s="16">
        <f>IFERROR(ROUND(MOD(SMALL('Batches'!$J$3:$J$302,92),1)*100000,0),"")</f>
        <v/>
      </c>
    </row>
    <row r="97">
      <c r="A97" s="18">
        <f>IF($I97="","",INDEX('Batches'!$D$1:$D$302,$I97))</f>
        <v/>
      </c>
      <c r="B97" s="16">
        <f>IF($I97="","",INDEX('Batches'!$I$1:$I$302,$I97))</f>
        <v/>
      </c>
      <c r="C97" s="8">
        <f>IF($I97="","",INDEX('Batches'!$A$1:$A$302,$I97))</f>
        <v/>
      </c>
      <c r="D97" s="8">
        <f>IF($I97="","",INDEX('Batches'!$B$1:$B$302,$I97))</f>
        <v/>
      </c>
      <c r="E97" s="8">
        <f>IF($I97="","",INDEX('Batches'!$C$1:$C$302,$I97))</f>
        <v/>
      </c>
      <c r="F97" s="8">
        <f>IF($I97="","",INDEX('Batches'!$G$1:$G$302,$I97))</f>
        <v/>
      </c>
      <c r="G97" s="16">
        <f>IF($I97="","",INDEX('Batches'!$H$1:$H$302,$I97))</f>
        <v/>
      </c>
      <c r="I97" s="16">
        <f>IFERROR(ROUND(MOD(SMALL('Batches'!$J$3:$J$302,93),1)*100000,0),"")</f>
        <v/>
      </c>
    </row>
    <row r="98">
      <c r="A98" s="18">
        <f>IF($I98="","",INDEX('Batches'!$D$1:$D$302,$I98))</f>
        <v/>
      </c>
      <c r="B98" s="16">
        <f>IF($I98="","",INDEX('Batches'!$I$1:$I$302,$I98))</f>
        <v/>
      </c>
      <c r="C98" s="8">
        <f>IF($I98="","",INDEX('Batches'!$A$1:$A$302,$I98))</f>
        <v/>
      </c>
      <c r="D98" s="8">
        <f>IF($I98="","",INDEX('Batches'!$B$1:$B$302,$I98))</f>
        <v/>
      </c>
      <c r="E98" s="8">
        <f>IF($I98="","",INDEX('Batches'!$C$1:$C$302,$I98))</f>
        <v/>
      </c>
      <c r="F98" s="8">
        <f>IF($I98="","",INDEX('Batches'!$G$1:$G$302,$I98))</f>
        <v/>
      </c>
      <c r="G98" s="16">
        <f>IF($I98="","",INDEX('Batches'!$H$1:$H$302,$I98))</f>
        <v/>
      </c>
      <c r="I98" s="16">
        <f>IFERROR(ROUND(MOD(SMALL('Batches'!$J$3:$J$302,94),1)*100000,0),"")</f>
        <v/>
      </c>
    </row>
    <row r="99">
      <c r="A99" s="18">
        <f>IF($I99="","",INDEX('Batches'!$D$1:$D$302,$I99))</f>
        <v/>
      </c>
      <c r="B99" s="16">
        <f>IF($I99="","",INDEX('Batches'!$I$1:$I$302,$I99))</f>
        <v/>
      </c>
      <c r="C99" s="8">
        <f>IF($I99="","",INDEX('Batches'!$A$1:$A$302,$I99))</f>
        <v/>
      </c>
      <c r="D99" s="8">
        <f>IF($I99="","",INDEX('Batches'!$B$1:$B$302,$I99))</f>
        <v/>
      </c>
      <c r="E99" s="8">
        <f>IF($I99="","",INDEX('Batches'!$C$1:$C$302,$I99))</f>
        <v/>
      </c>
      <c r="F99" s="8">
        <f>IF($I99="","",INDEX('Batches'!$G$1:$G$302,$I99))</f>
        <v/>
      </c>
      <c r="G99" s="16">
        <f>IF($I99="","",INDEX('Batches'!$H$1:$H$302,$I99))</f>
        <v/>
      </c>
      <c r="I99" s="16">
        <f>IFERROR(ROUND(MOD(SMALL('Batches'!$J$3:$J$302,95),1)*100000,0),"")</f>
        <v/>
      </c>
    </row>
    <row r="100">
      <c r="A100" s="18">
        <f>IF($I100="","",INDEX('Batches'!$D$1:$D$302,$I100))</f>
        <v/>
      </c>
      <c r="B100" s="16">
        <f>IF($I100="","",INDEX('Batches'!$I$1:$I$302,$I100))</f>
        <v/>
      </c>
      <c r="C100" s="8">
        <f>IF($I100="","",INDEX('Batches'!$A$1:$A$302,$I100))</f>
        <v/>
      </c>
      <c r="D100" s="8">
        <f>IF($I100="","",INDEX('Batches'!$B$1:$B$302,$I100))</f>
        <v/>
      </c>
      <c r="E100" s="8">
        <f>IF($I100="","",INDEX('Batches'!$C$1:$C$302,$I100))</f>
        <v/>
      </c>
      <c r="F100" s="8">
        <f>IF($I100="","",INDEX('Batches'!$G$1:$G$302,$I100))</f>
        <v/>
      </c>
      <c r="G100" s="16">
        <f>IF($I100="","",INDEX('Batches'!$H$1:$H$302,$I100))</f>
        <v/>
      </c>
      <c r="I100" s="16">
        <f>IFERROR(ROUND(MOD(SMALL('Batches'!$J$3:$J$302,96),1)*100000,0),"")</f>
        <v/>
      </c>
    </row>
    <row r="101">
      <c r="A101" s="18">
        <f>IF($I101="","",INDEX('Batches'!$D$1:$D$302,$I101))</f>
        <v/>
      </c>
      <c r="B101" s="16">
        <f>IF($I101="","",INDEX('Batches'!$I$1:$I$302,$I101))</f>
        <v/>
      </c>
      <c r="C101" s="8">
        <f>IF($I101="","",INDEX('Batches'!$A$1:$A$302,$I101))</f>
        <v/>
      </c>
      <c r="D101" s="8">
        <f>IF($I101="","",INDEX('Batches'!$B$1:$B$302,$I101))</f>
        <v/>
      </c>
      <c r="E101" s="8">
        <f>IF($I101="","",INDEX('Batches'!$C$1:$C$302,$I101))</f>
        <v/>
      </c>
      <c r="F101" s="8">
        <f>IF($I101="","",INDEX('Batches'!$G$1:$G$302,$I101))</f>
        <v/>
      </c>
      <c r="G101" s="16">
        <f>IF($I101="","",INDEX('Batches'!$H$1:$H$302,$I101))</f>
        <v/>
      </c>
      <c r="I101" s="16">
        <f>IFERROR(ROUND(MOD(SMALL('Batches'!$J$3:$J$302,97),1)*100000,0),"")</f>
        <v/>
      </c>
    </row>
    <row r="102">
      <c r="A102" s="18">
        <f>IF($I102="","",INDEX('Batches'!$D$1:$D$302,$I102))</f>
        <v/>
      </c>
      <c r="B102" s="16">
        <f>IF($I102="","",INDEX('Batches'!$I$1:$I$302,$I102))</f>
        <v/>
      </c>
      <c r="C102" s="8">
        <f>IF($I102="","",INDEX('Batches'!$A$1:$A$302,$I102))</f>
        <v/>
      </c>
      <c r="D102" s="8">
        <f>IF($I102="","",INDEX('Batches'!$B$1:$B$302,$I102))</f>
        <v/>
      </c>
      <c r="E102" s="8">
        <f>IF($I102="","",INDEX('Batches'!$C$1:$C$302,$I102))</f>
        <v/>
      </c>
      <c r="F102" s="8">
        <f>IF($I102="","",INDEX('Batches'!$G$1:$G$302,$I102))</f>
        <v/>
      </c>
      <c r="G102" s="16">
        <f>IF($I102="","",INDEX('Batches'!$H$1:$H$302,$I102))</f>
        <v/>
      </c>
      <c r="I102" s="16">
        <f>IFERROR(ROUND(MOD(SMALL('Batches'!$J$3:$J$302,98),1)*100000,0),"")</f>
        <v/>
      </c>
    </row>
    <row r="103">
      <c r="A103" s="18">
        <f>IF($I103="","",INDEX('Batches'!$D$1:$D$302,$I103))</f>
        <v/>
      </c>
      <c r="B103" s="16">
        <f>IF($I103="","",INDEX('Batches'!$I$1:$I$302,$I103))</f>
        <v/>
      </c>
      <c r="C103" s="8">
        <f>IF($I103="","",INDEX('Batches'!$A$1:$A$302,$I103))</f>
        <v/>
      </c>
      <c r="D103" s="8">
        <f>IF($I103="","",INDEX('Batches'!$B$1:$B$302,$I103))</f>
        <v/>
      </c>
      <c r="E103" s="8">
        <f>IF($I103="","",INDEX('Batches'!$C$1:$C$302,$I103))</f>
        <v/>
      </c>
      <c r="F103" s="8">
        <f>IF($I103="","",INDEX('Batches'!$G$1:$G$302,$I103))</f>
        <v/>
      </c>
      <c r="G103" s="16">
        <f>IF($I103="","",INDEX('Batches'!$H$1:$H$302,$I103))</f>
        <v/>
      </c>
      <c r="I103" s="16">
        <f>IFERROR(ROUND(MOD(SMALL('Batches'!$J$3:$J$302,99),1)*100000,0),"")</f>
        <v/>
      </c>
    </row>
    <row r="104">
      <c r="A104" s="18">
        <f>IF($I104="","",INDEX('Batches'!$D$1:$D$302,$I104))</f>
        <v/>
      </c>
      <c r="B104" s="16">
        <f>IF($I104="","",INDEX('Batches'!$I$1:$I$302,$I104))</f>
        <v/>
      </c>
      <c r="C104" s="8">
        <f>IF($I104="","",INDEX('Batches'!$A$1:$A$302,$I104))</f>
        <v/>
      </c>
      <c r="D104" s="8">
        <f>IF($I104="","",INDEX('Batches'!$B$1:$B$302,$I104))</f>
        <v/>
      </c>
      <c r="E104" s="8">
        <f>IF($I104="","",INDEX('Batches'!$C$1:$C$302,$I104))</f>
        <v/>
      </c>
      <c r="F104" s="8">
        <f>IF($I104="","",INDEX('Batches'!$G$1:$G$302,$I104))</f>
        <v/>
      </c>
      <c r="G104" s="16">
        <f>IF($I104="","",INDEX('Batches'!$H$1:$H$302,$I104))</f>
        <v/>
      </c>
      <c r="I104" s="16">
        <f>IFERROR(ROUND(MOD(SMALL('Batches'!$J$3:$J$302,100),1)*100000,0),"")</f>
        <v/>
      </c>
    </row>
    <row r="105">
      <c r="A105" s="18">
        <f>IF($I105="","",INDEX('Batches'!$D$1:$D$302,$I105))</f>
        <v/>
      </c>
      <c r="B105" s="16">
        <f>IF($I105="","",INDEX('Batches'!$I$1:$I$302,$I105))</f>
        <v/>
      </c>
      <c r="C105" s="8">
        <f>IF($I105="","",INDEX('Batches'!$A$1:$A$302,$I105))</f>
        <v/>
      </c>
      <c r="D105" s="8">
        <f>IF($I105="","",INDEX('Batches'!$B$1:$B$302,$I105))</f>
        <v/>
      </c>
      <c r="E105" s="8">
        <f>IF($I105="","",INDEX('Batches'!$C$1:$C$302,$I105))</f>
        <v/>
      </c>
      <c r="F105" s="8">
        <f>IF($I105="","",INDEX('Batches'!$G$1:$G$302,$I105))</f>
        <v/>
      </c>
      <c r="G105" s="16">
        <f>IF($I105="","",INDEX('Batches'!$H$1:$H$302,$I105))</f>
        <v/>
      </c>
      <c r="I105" s="16">
        <f>IFERROR(ROUND(MOD(SMALL('Batches'!$J$3:$J$302,101),1)*100000,0),"")</f>
        <v/>
      </c>
    </row>
    <row r="106">
      <c r="A106" s="18">
        <f>IF($I106="","",INDEX('Batches'!$D$1:$D$302,$I106))</f>
        <v/>
      </c>
      <c r="B106" s="16">
        <f>IF($I106="","",INDEX('Batches'!$I$1:$I$302,$I106))</f>
        <v/>
      </c>
      <c r="C106" s="8">
        <f>IF($I106="","",INDEX('Batches'!$A$1:$A$302,$I106))</f>
        <v/>
      </c>
      <c r="D106" s="8">
        <f>IF($I106="","",INDEX('Batches'!$B$1:$B$302,$I106))</f>
        <v/>
      </c>
      <c r="E106" s="8">
        <f>IF($I106="","",INDEX('Batches'!$C$1:$C$302,$I106))</f>
        <v/>
      </c>
      <c r="F106" s="8">
        <f>IF($I106="","",INDEX('Batches'!$G$1:$G$302,$I106))</f>
        <v/>
      </c>
      <c r="G106" s="16">
        <f>IF($I106="","",INDEX('Batches'!$H$1:$H$302,$I106))</f>
        <v/>
      </c>
      <c r="I106" s="16">
        <f>IFERROR(ROUND(MOD(SMALL('Batches'!$J$3:$J$302,102),1)*100000,0),"")</f>
        <v/>
      </c>
    </row>
    <row r="107">
      <c r="A107" s="18">
        <f>IF($I107="","",INDEX('Batches'!$D$1:$D$302,$I107))</f>
        <v/>
      </c>
      <c r="B107" s="16">
        <f>IF($I107="","",INDEX('Batches'!$I$1:$I$302,$I107))</f>
        <v/>
      </c>
      <c r="C107" s="8">
        <f>IF($I107="","",INDEX('Batches'!$A$1:$A$302,$I107))</f>
        <v/>
      </c>
      <c r="D107" s="8">
        <f>IF($I107="","",INDEX('Batches'!$B$1:$B$302,$I107))</f>
        <v/>
      </c>
      <c r="E107" s="8">
        <f>IF($I107="","",INDEX('Batches'!$C$1:$C$302,$I107))</f>
        <v/>
      </c>
      <c r="F107" s="8">
        <f>IF($I107="","",INDEX('Batches'!$G$1:$G$302,$I107))</f>
        <v/>
      </c>
      <c r="G107" s="16">
        <f>IF($I107="","",INDEX('Batches'!$H$1:$H$302,$I107))</f>
        <v/>
      </c>
      <c r="I107" s="16">
        <f>IFERROR(ROUND(MOD(SMALL('Batches'!$J$3:$J$302,103),1)*100000,0),"")</f>
        <v/>
      </c>
    </row>
    <row r="108">
      <c r="A108" s="18">
        <f>IF($I108="","",INDEX('Batches'!$D$1:$D$302,$I108))</f>
        <v/>
      </c>
      <c r="B108" s="16">
        <f>IF($I108="","",INDEX('Batches'!$I$1:$I$302,$I108))</f>
        <v/>
      </c>
      <c r="C108" s="8">
        <f>IF($I108="","",INDEX('Batches'!$A$1:$A$302,$I108))</f>
        <v/>
      </c>
      <c r="D108" s="8">
        <f>IF($I108="","",INDEX('Batches'!$B$1:$B$302,$I108))</f>
        <v/>
      </c>
      <c r="E108" s="8">
        <f>IF($I108="","",INDEX('Batches'!$C$1:$C$302,$I108))</f>
        <v/>
      </c>
      <c r="F108" s="8">
        <f>IF($I108="","",INDEX('Batches'!$G$1:$G$302,$I108))</f>
        <v/>
      </c>
      <c r="G108" s="16">
        <f>IF($I108="","",INDEX('Batches'!$H$1:$H$302,$I108))</f>
        <v/>
      </c>
      <c r="I108" s="16">
        <f>IFERROR(ROUND(MOD(SMALL('Batches'!$J$3:$J$302,104),1)*100000,0),"")</f>
        <v/>
      </c>
    </row>
    <row r="109">
      <c r="A109" s="18">
        <f>IF($I109="","",INDEX('Batches'!$D$1:$D$302,$I109))</f>
        <v/>
      </c>
      <c r="B109" s="16">
        <f>IF($I109="","",INDEX('Batches'!$I$1:$I$302,$I109))</f>
        <v/>
      </c>
      <c r="C109" s="8">
        <f>IF($I109="","",INDEX('Batches'!$A$1:$A$302,$I109))</f>
        <v/>
      </c>
      <c r="D109" s="8">
        <f>IF($I109="","",INDEX('Batches'!$B$1:$B$302,$I109))</f>
        <v/>
      </c>
      <c r="E109" s="8">
        <f>IF($I109="","",INDEX('Batches'!$C$1:$C$302,$I109))</f>
        <v/>
      </c>
      <c r="F109" s="8">
        <f>IF($I109="","",INDEX('Batches'!$G$1:$G$302,$I109))</f>
        <v/>
      </c>
      <c r="G109" s="16">
        <f>IF($I109="","",INDEX('Batches'!$H$1:$H$302,$I109))</f>
        <v/>
      </c>
      <c r="I109" s="16">
        <f>IFERROR(ROUND(MOD(SMALL('Batches'!$J$3:$J$302,105),1)*100000,0),"")</f>
        <v/>
      </c>
    </row>
    <row r="110">
      <c r="A110" s="18">
        <f>IF($I110="","",INDEX('Batches'!$D$1:$D$302,$I110))</f>
        <v/>
      </c>
      <c r="B110" s="16">
        <f>IF($I110="","",INDEX('Batches'!$I$1:$I$302,$I110))</f>
        <v/>
      </c>
      <c r="C110" s="8">
        <f>IF($I110="","",INDEX('Batches'!$A$1:$A$302,$I110))</f>
        <v/>
      </c>
      <c r="D110" s="8">
        <f>IF($I110="","",INDEX('Batches'!$B$1:$B$302,$I110))</f>
        <v/>
      </c>
      <c r="E110" s="8">
        <f>IF($I110="","",INDEX('Batches'!$C$1:$C$302,$I110))</f>
        <v/>
      </c>
      <c r="F110" s="8">
        <f>IF($I110="","",INDEX('Batches'!$G$1:$G$302,$I110))</f>
        <v/>
      </c>
      <c r="G110" s="16">
        <f>IF($I110="","",INDEX('Batches'!$H$1:$H$302,$I110))</f>
        <v/>
      </c>
      <c r="I110" s="16">
        <f>IFERROR(ROUND(MOD(SMALL('Batches'!$J$3:$J$302,106),1)*100000,0),"")</f>
        <v/>
      </c>
    </row>
    <row r="111">
      <c r="A111" s="18">
        <f>IF($I111="","",INDEX('Batches'!$D$1:$D$302,$I111))</f>
        <v/>
      </c>
      <c r="B111" s="16">
        <f>IF($I111="","",INDEX('Batches'!$I$1:$I$302,$I111))</f>
        <v/>
      </c>
      <c r="C111" s="8">
        <f>IF($I111="","",INDEX('Batches'!$A$1:$A$302,$I111))</f>
        <v/>
      </c>
      <c r="D111" s="8">
        <f>IF($I111="","",INDEX('Batches'!$B$1:$B$302,$I111))</f>
        <v/>
      </c>
      <c r="E111" s="8">
        <f>IF($I111="","",INDEX('Batches'!$C$1:$C$302,$I111))</f>
        <v/>
      </c>
      <c r="F111" s="8">
        <f>IF($I111="","",INDEX('Batches'!$G$1:$G$302,$I111))</f>
        <v/>
      </c>
      <c r="G111" s="16">
        <f>IF($I111="","",INDEX('Batches'!$H$1:$H$302,$I111))</f>
        <v/>
      </c>
      <c r="I111" s="16">
        <f>IFERROR(ROUND(MOD(SMALL('Batches'!$J$3:$J$302,107),1)*100000,0),"")</f>
        <v/>
      </c>
    </row>
    <row r="112">
      <c r="A112" s="18">
        <f>IF($I112="","",INDEX('Batches'!$D$1:$D$302,$I112))</f>
        <v/>
      </c>
      <c r="B112" s="16">
        <f>IF($I112="","",INDEX('Batches'!$I$1:$I$302,$I112))</f>
        <v/>
      </c>
      <c r="C112" s="8">
        <f>IF($I112="","",INDEX('Batches'!$A$1:$A$302,$I112))</f>
        <v/>
      </c>
      <c r="D112" s="8">
        <f>IF($I112="","",INDEX('Batches'!$B$1:$B$302,$I112))</f>
        <v/>
      </c>
      <c r="E112" s="8">
        <f>IF($I112="","",INDEX('Batches'!$C$1:$C$302,$I112))</f>
        <v/>
      </c>
      <c r="F112" s="8">
        <f>IF($I112="","",INDEX('Batches'!$G$1:$G$302,$I112))</f>
        <v/>
      </c>
      <c r="G112" s="16">
        <f>IF($I112="","",INDEX('Batches'!$H$1:$H$302,$I112))</f>
        <v/>
      </c>
      <c r="I112" s="16">
        <f>IFERROR(ROUND(MOD(SMALL('Batches'!$J$3:$J$302,108),1)*100000,0),"")</f>
        <v/>
      </c>
    </row>
    <row r="113">
      <c r="A113" s="18">
        <f>IF($I113="","",INDEX('Batches'!$D$1:$D$302,$I113))</f>
        <v/>
      </c>
      <c r="B113" s="16">
        <f>IF($I113="","",INDEX('Batches'!$I$1:$I$302,$I113))</f>
        <v/>
      </c>
      <c r="C113" s="8">
        <f>IF($I113="","",INDEX('Batches'!$A$1:$A$302,$I113))</f>
        <v/>
      </c>
      <c r="D113" s="8">
        <f>IF($I113="","",INDEX('Batches'!$B$1:$B$302,$I113))</f>
        <v/>
      </c>
      <c r="E113" s="8">
        <f>IF($I113="","",INDEX('Batches'!$C$1:$C$302,$I113))</f>
        <v/>
      </c>
      <c r="F113" s="8">
        <f>IF($I113="","",INDEX('Batches'!$G$1:$G$302,$I113))</f>
        <v/>
      </c>
      <c r="G113" s="16">
        <f>IF($I113="","",INDEX('Batches'!$H$1:$H$302,$I113))</f>
        <v/>
      </c>
      <c r="I113" s="16">
        <f>IFERROR(ROUND(MOD(SMALL('Batches'!$J$3:$J$302,109),1)*100000,0),"")</f>
        <v/>
      </c>
    </row>
    <row r="114">
      <c r="A114" s="18">
        <f>IF($I114="","",INDEX('Batches'!$D$1:$D$302,$I114))</f>
        <v/>
      </c>
      <c r="B114" s="16">
        <f>IF($I114="","",INDEX('Batches'!$I$1:$I$302,$I114))</f>
        <v/>
      </c>
      <c r="C114" s="8">
        <f>IF($I114="","",INDEX('Batches'!$A$1:$A$302,$I114))</f>
        <v/>
      </c>
      <c r="D114" s="8">
        <f>IF($I114="","",INDEX('Batches'!$B$1:$B$302,$I114))</f>
        <v/>
      </c>
      <c r="E114" s="8">
        <f>IF($I114="","",INDEX('Batches'!$C$1:$C$302,$I114))</f>
        <v/>
      </c>
      <c r="F114" s="8">
        <f>IF($I114="","",INDEX('Batches'!$G$1:$G$302,$I114))</f>
        <v/>
      </c>
      <c r="G114" s="16">
        <f>IF($I114="","",INDEX('Batches'!$H$1:$H$302,$I114))</f>
        <v/>
      </c>
      <c r="I114" s="16">
        <f>IFERROR(ROUND(MOD(SMALL('Batches'!$J$3:$J$302,110),1)*100000,0),"")</f>
        <v/>
      </c>
    </row>
    <row r="115">
      <c r="A115" s="18">
        <f>IF($I115="","",INDEX('Batches'!$D$1:$D$302,$I115))</f>
        <v/>
      </c>
      <c r="B115" s="16">
        <f>IF($I115="","",INDEX('Batches'!$I$1:$I$302,$I115))</f>
        <v/>
      </c>
      <c r="C115" s="8">
        <f>IF($I115="","",INDEX('Batches'!$A$1:$A$302,$I115))</f>
        <v/>
      </c>
      <c r="D115" s="8">
        <f>IF($I115="","",INDEX('Batches'!$B$1:$B$302,$I115))</f>
        <v/>
      </c>
      <c r="E115" s="8">
        <f>IF($I115="","",INDEX('Batches'!$C$1:$C$302,$I115))</f>
        <v/>
      </c>
      <c r="F115" s="8">
        <f>IF($I115="","",INDEX('Batches'!$G$1:$G$302,$I115))</f>
        <v/>
      </c>
      <c r="G115" s="16">
        <f>IF($I115="","",INDEX('Batches'!$H$1:$H$302,$I115))</f>
        <v/>
      </c>
      <c r="I115" s="16">
        <f>IFERROR(ROUND(MOD(SMALL('Batches'!$J$3:$J$302,111),1)*100000,0),"")</f>
        <v/>
      </c>
    </row>
    <row r="116">
      <c r="A116" s="18">
        <f>IF($I116="","",INDEX('Batches'!$D$1:$D$302,$I116))</f>
        <v/>
      </c>
      <c r="B116" s="16">
        <f>IF($I116="","",INDEX('Batches'!$I$1:$I$302,$I116))</f>
        <v/>
      </c>
      <c r="C116" s="8">
        <f>IF($I116="","",INDEX('Batches'!$A$1:$A$302,$I116))</f>
        <v/>
      </c>
      <c r="D116" s="8">
        <f>IF($I116="","",INDEX('Batches'!$B$1:$B$302,$I116))</f>
        <v/>
      </c>
      <c r="E116" s="8">
        <f>IF($I116="","",INDEX('Batches'!$C$1:$C$302,$I116))</f>
        <v/>
      </c>
      <c r="F116" s="8">
        <f>IF($I116="","",INDEX('Batches'!$G$1:$G$302,$I116))</f>
        <v/>
      </c>
      <c r="G116" s="16">
        <f>IF($I116="","",INDEX('Batches'!$H$1:$H$302,$I116))</f>
        <v/>
      </c>
      <c r="I116" s="16">
        <f>IFERROR(ROUND(MOD(SMALL('Batches'!$J$3:$J$302,112),1)*100000,0),"")</f>
        <v/>
      </c>
    </row>
    <row r="117">
      <c r="A117" s="18">
        <f>IF($I117="","",INDEX('Batches'!$D$1:$D$302,$I117))</f>
        <v/>
      </c>
      <c r="B117" s="16">
        <f>IF($I117="","",INDEX('Batches'!$I$1:$I$302,$I117))</f>
        <v/>
      </c>
      <c r="C117" s="8">
        <f>IF($I117="","",INDEX('Batches'!$A$1:$A$302,$I117))</f>
        <v/>
      </c>
      <c r="D117" s="8">
        <f>IF($I117="","",INDEX('Batches'!$B$1:$B$302,$I117))</f>
        <v/>
      </c>
      <c r="E117" s="8">
        <f>IF($I117="","",INDEX('Batches'!$C$1:$C$302,$I117))</f>
        <v/>
      </c>
      <c r="F117" s="8">
        <f>IF($I117="","",INDEX('Batches'!$G$1:$G$302,$I117))</f>
        <v/>
      </c>
      <c r="G117" s="16">
        <f>IF($I117="","",INDEX('Batches'!$H$1:$H$302,$I117))</f>
        <v/>
      </c>
      <c r="I117" s="16">
        <f>IFERROR(ROUND(MOD(SMALL('Batches'!$J$3:$J$302,113),1)*100000,0),"")</f>
        <v/>
      </c>
    </row>
    <row r="118">
      <c r="A118" s="18">
        <f>IF($I118="","",INDEX('Batches'!$D$1:$D$302,$I118))</f>
        <v/>
      </c>
      <c r="B118" s="16">
        <f>IF($I118="","",INDEX('Batches'!$I$1:$I$302,$I118))</f>
        <v/>
      </c>
      <c r="C118" s="8">
        <f>IF($I118="","",INDEX('Batches'!$A$1:$A$302,$I118))</f>
        <v/>
      </c>
      <c r="D118" s="8">
        <f>IF($I118="","",INDEX('Batches'!$B$1:$B$302,$I118))</f>
        <v/>
      </c>
      <c r="E118" s="8">
        <f>IF($I118="","",INDEX('Batches'!$C$1:$C$302,$I118))</f>
        <v/>
      </c>
      <c r="F118" s="8">
        <f>IF($I118="","",INDEX('Batches'!$G$1:$G$302,$I118))</f>
        <v/>
      </c>
      <c r="G118" s="16">
        <f>IF($I118="","",INDEX('Batches'!$H$1:$H$302,$I118))</f>
        <v/>
      </c>
      <c r="I118" s="16">
        <f>IFERROR(ROUND(MOD(SMALL('Batches'!$J$3:$J$302,114),1)*100000,0),"")</f>
        <v/>
      </c>
    </row>
    <row r="119">
      <c r="A119" s="18">
        <f>IF($I119="","",INDEX('Batches'!$D$1:$D$302,$I119))</f>
        <v/>
      </c>
      <c r="B119" s="16">
        <f>IF($I119="","",INDEX('Batches'!$I$1:$I$302,$I119))</f>
        <v/>
      </c>
      <c r="C119" s="8">
        <f>IF($I119="","",INDEX('Batches'!$A$1:$A$302,$I119))</f>
        <v/>
      </c>
      <c r="D119" s="8">
        <f>IF($I119="","",INDEX('Batches'!$B$1:$B$302,$I119))</f>
        <v/>
      </c>
      <c r="E119" s="8">
        <f>IF($I119="","",INDEX('Batches'!$C$1:$C$302,$I119))</f>
        <v/>
      </c>
      <c r="F119" s="8">
        <f>IF($I119="","",INDEX('Batches'!$G$1:$G$302,$I119))</f>
        <v/>
      </c>
      <c r="G119" s="16">
        <f>IF($I119="","",INDEX('Batches'!$H$1:$H$302,$I119))</f>
        <v/>
      </c>
      <c r="I119" s="16">
        <f>IFERROR(ROUND(MOD(SMALL('Batches'!$J$3:$J$302,115),1)*100000,0),"")</f>
        <v/>
      </c>
    </row>
    <row r="120">
      <c r="A120" s="18">
        <f>IF($I120="","",INDEX('Batches'!$D$1:$D$302,$I120))</f>
        <v/>
      </c>
      <c r="B120" s="16">
        <f>IF($I120="","",INDEX('Batches'!$I$1:$I$302,$I120))</f>
        <v/>
      </c>
      <c r="C120" s="8">
        <f>IF($I120="","",INDEX('Batches'!$A$1:$A$302,$I120))</f>
        <v/>
      </c>
      <c r="D120" s="8">
        <f>IF($I120="","",INDEX('Batches'!$B$1:$B$302,$I120))</f>
        <v/>
      </c>
      <c r="E120" s="8">
        <f>IF($I120="","",INDEX('Batches'!$C$1:$C$302,$I120))</f>
        <v/>
      </c>
      <c r="F120" s="8">
        <f>IF($I120="","",INDEX('Batches'!$G$1:$G$302,$I120))</f>
        <v/>
      </c>
      <c r="G120" s="16">
        <f>IF($I120="","",INDEX('Batches'!$H$1:$H$302,$I120))</f>
        <v/>
      </c>
      <c r="I120" s="16">
        <f>IFERROR(ROUND(MOD(SMALL('Batches'!$J$3:$J$302,116),1)*100000,0),"")</f>
        <v/>
      </c>
    </row>
    <row r="121">
      <c r="A121" s="18">
        <f>IF($I121="","",INDEX('Batches'!$D$1:$D$302,$I121))</f>
        <v/>
      </c>
      <c r="B121" s="16">
        <f>IF($I121="","",INDEX('Batches'!$I$1:$I$302,$I121))</f>
        <v/>
      </c>
      <c r="C121" s="8">
        <f>IF($I121="","",INDEX('Batches'!$A$1:$A$302,$I121))</f>
        <v/>
      </c>
      <c r="D121" s="8">
        <f>IF($I121="","",INDEX('Batches'!$B$1:$B$302,$I121))</f>
        <v/>
      </c>
      <c r="E121" s="8">
        <f>IF($I121="","",INDEX('Batches'!$C$1:$C$302,$I121))</f>
        <v/>
      </c>
      <c r="F121" s="8">
        <f>IF($I121="","",INDEX('Batches'!$G$1:$G$302,$I121))</f>
        <v/>
      </c>
      <c r="G121" s="16">
        <f>IF($I121="","",INDEX('Batches'!$H$1:$H$302,$I121))</f>
        <v/>
      </c>
      <c r="I121" s="16">
        <f>IFERROR(ROUND(MOD(SMALL('Batches'!$J$3:$J$302,117),1)*100000,0),"")</f>
        <v/>
      </c>
    </row>
    <row r="122">
      <c r="A122" s="18">
        <f>IF($I122="","",INDEX('Batches'!$D$1:$D$302,$I122))</f>
        <v/>
      </c>
      <c r="B122" s="16">
        <f>IF($I122="","",INDEX('Batches'!$I$1:$I$302,$I122))</f>
        <v/>
      </c>
      <c r="C122" s="8">
        <f>IF($I122="","",INDEX('Batches'!$A$1:$A$302,$I122))</f>
        <v/>
      </c>
      <c r="D122" s="8">
        <f>IF($I122="","",INDEX('Batches'!$B$1:$B$302,$I122))</f>
        <v/>
      </c>
      <c r="E122" s="8">
        <f>IF($I122="","",INDEX('Batches'!$C$1:$C$302,$I122))</f>
        <v/>
      </c>
      <c r="F122" s="8">
        <f>IF($I122="","",INDEX('Batches'!$G$1:$G$302,$I122))</f>
        <v/>
      </c>
      <c r="G122" s="16">
        <f>IF($I122="","",INDEX('Batches'!$H$1:$H$302,$I122))</f>
        <v/>
      </c>
      <c r="I122" s="16">
        <f>IFERROR(ROUND(MOD(SMALL('Batches'!$J$3:$J$302,118),1)*100000,0),"")</f>
        <v/>
      </c>
    </row>
    <row r="123">
      <c r="A123" s="18">
        <f>IF($I123="","",INDEX('Batches'!$D$1:$D$302,$I123))</f>
        <v/>
      </c>
      <c r="B123" s="16">
        <f>IF($I123="","",INDEX('Batches'!$I$1:$I$302,$I123))</f>
        <v/>
      </c>
      <c r="C123" s="8">
        <f>IF($I123="","",INDEX('Batches'!$A$1:$A$302,$I123))</f>
        <v/>
      </c>
      <c r="D123" s="8">
        <f>IF($I123="","",INDEX('Batches'!$B$1:$B$302,$I123))</f>
        <v/>
      </c>
      <c r="E123" s="8">
        <f>IF($I123="","",INDEX('Batches'!$C$1:$C$302,$I123))</f>
        <v/>
      </c>
      <c r="F123" s="8">
        <f>IF($I123="","",INDEX('Batches'!$G$1:$G$302,$I123))</f>
        <v/>
      </c>
      <c r="G123" s="16">
        <f>IF($I123="","",INDEX('Batches'!$H$1:$H$302,$I123))</f>
        <v/>
      </c>
      <c r="I123" s="16">
        <f>IFERROR(ROUND(MOD(SMALL('Batches'!$J$3:$J$302,119),1)*100000,0),"")</f>
        <v/>
      </c>
    </row>
    <row r="124">
      <c r="A124" s="18">
        <f>IF($I124="","",INDEX('Batches'!$D$1:$D$302,$I124))</f>
        <v/>
      </c>
      <c r="B124" s="16">
        <f>IF($I124="","",INDEX('Batches'!$I$1:$I$302,$I124))</f>
        <v/>
      </c>
      <c r="C124" s="8">
        <f>IF($I124="","",INDEX('Batches'!$A$1:$A$302,$I124))</f>
        <v/>
      </c>
      <c r="D124" s="8">
        <f>IF($I124="","",INDEX('Batches'!$B$1:$B$302,$I124))</f>
        <v/>
      </c>
      <c r="E124" s="8">
        <f>IF($I124="","",INDEX('Batches'!$C$1:$C$302,$I124))</f>
        <v/>
      </c>
      <c r="F124" s="8">
        <f>IF($I124="","",INDEX('Batches'!$G$1:$G$302,$I124))</f>
        <v/>
      </c>
      <c r="G124" s="16">
        <f>IF($I124="","",INDEX('Batches'!$H$1:$H$302,$I124))</f>
        <v/>
      </c>
      <c r="I124" s="16">
        <f>IFERROR(ROUND(MOD(SMALL('Batches'!$J$3:$J$302,120),1)*100000,0),"")</f>
        <v/>
      </c>
    </row>
    <row r="125">
      <c r="A125" s="18">
        <f>IF($I125="","",INDEX('Batches'!$D$1:$D$302,$I125))</f>
        <v/>
      </c>
      <c r="B125" s="16">
        <f>IF($I125="","",INDEX('Batches'!$I$1:$I$302,$I125))</f>
        <v/>
      </c>
      <c r="C125" s="8">
        <f>IF($I125="","",INDEX('Batches'!$A$1:$A$302,$I125))</f>
        <v/>
      </c>
      <c r="D125" s="8">
        <f>IF($I125="","",INDEX('Batches'!$B$1:$B$302,$I125))</f>
        <v/>
      </c>
      <c r="E125" s="8">
        <f>IF($I125="","",INDEX('Batches'!$C$1:$C$302,$I125))</f>
        <v/>
      </c>
      <c r="F125" s="8">
        <f>IF($I125="","",INDEX('Batches'!$G$1:$G$302,$I125))</f>
        <v/>
      </c>
      <c r="G125" s="16">
        <f>IF($I125="","",INDEX('Batches'!$H$1:$H$302,$I125))</f>
        <v/>
      </c>
      <c r="I125" s="16">
        <f>IFERROR(ROUND(MOD(SMALL('Batches'!$J$3:$J$302,121),1)*100000,0),"")</f>
        <v/>
      </c>
    </row>
    <row r="126">
      <c r="A126" s="18">
        <f>IF($I126="","",INDEX('Batches'!$D$1:$D$302,$I126))</f>
        <v/>
      </c>
      <c r="B126" s="16">
        <f>IF($I126="","",INDEX('Batches'!$I$1:$I$302,$I126))</f>
        <v/>
      </c>
      <c r="C126" s="8">
        <f>IF($I126="","",INDEX('Batches'!$A$1:$A$302,$I126))</f>
        <v/>
      </c>
      <c r="D126" s="8">
        <f>IF($I126="","",INDEX('Batches'!$B$1:$B$302,$I126))</f>
        <v/>
      </c>
      <c r="E126" s="8">
        <f>IF($I126="","",INDEX('Batches'!$C$1:$C$302,$I126))</f>
        <v/>
      </c>
      <c r="F126" s="8">
        <f>IF($I126="","",INDEX('Batches'!$G$1:$G$302,$I126))</f>
        <v/>
      </c>
      <c r="G126" s="16">
        <f>IF($I126="","",INDEX('Batches'!$H$1:$H$302,$I126))</f>
        <v/>
      </c>
      <c r="I126" s="16">
        <f>IFERROR(ROUND(MOD(SMALL('Batches'!$J$3:$J$302,122),1)*100000,0),"")</f>
        <v/>
      </c>
    </row>
    <row r="127">
      <c r="A127" s="18">
        <f>IF($I127="","",INDEX('Batches'!$D$1:$D$302,$I127))</f>
        <v/>
      </c>
      <c r="B127" s="16">
        <f>IF($I127="","",INDEX('Batches'!$I$1:$I$302,$I127))</f>
        <v/>
      </c>
      <c r="C127" s="8">
        <f>IF($I127="","",INDEX('Batches'!$A$1:$A$302,$I127))</f>
        <v/>
      </c>
      <c r="D127" s="8">
        <f>IF($I127="","",INDEX('Batches'!$B$1:$B$302,$I127))</f>
        <v/>
      </c>
      <c r="E127" s="8">
        <f>IF($I127="","",INDEX('Batches'!$C$1:$C$302,$I127))</f>
        <v/>
      </c>
      <c r="F127" s="8">
        <f>IF($I127="","",INDEX('Batches'!$G$1:$G$302,$I127))</f>
        <v/>
      </c>
      <c r="G127" s="16">
        <f>IF($I127="","",INDEX('Batches'!$H$1:$H$302,$I127))</f>
        <v/>
      </c>
      <c r="I127" s="16">
        <f>IFERROR(ROUND(MOD(SMALL('Batches'!$J$3:$J$302,123),1)*100000,0),"")</f>
        <v/>
      </c>
    </row>
    <row r="128">
      <c r="A128" s="18">
        <f>IF($I128="","",INDEX('Batches'!$D$1:$D$302,$I128))</f>
        <v/>
      </c>
      <c r="B128" s="16">
        <f>IF($I128="","",INDEX('Batches'!$I$1:$I$302,$I128))</f>
        <v/>
      </c>
      <c r="C128" s="8">
        <f>IF($I128="","",INDEX('Batches'!$A$1:$A$302,$I128))</f>
        <v/>
      </c>
      <c r="D128" s="8">
        <f>IF($I128="","",INDEX('Batches'!$B$1:$B$302,$I128))</f>
        <v/>
      </c>
      <c r="E128" s="8">
        <f>IF($I128="","",INDEX('Batches'!$C$1:$C$302,$I128))</f>
        <v/>
      </c>
      <c r="F128" s="8">
        <f>IF($I128="","",INDEX('Batches'!$G$1:$G$302,$I128))</f>
        <v/>
      </c>
      <c r="G128" s="16">
        <f>IF($I128="","",INDEX('Batches'!$H$1:$H$302,$I128))</f>
        <v/>
      </c>
      <c r="I128" s="16">
        <f>IFERROR(ROUND(MOD(SMALL('Batches'!$J$3:$J$302,124),1)*100000,0),"")</f>
        <v/>
      </c>
    </row>
    <row r="129">
      <c r="A129" s="18">
        <f>IF($I129="","",INDEX('Batches'!$D$1:$D$302,$I129))</f>
        <v/>
      </c>
      <c r="B129" s="16">
        <f>IF($I129="","",INDEX('Batches'!$I$1:$I$302,$I129))</f>
        <v/>
      </c>
      <c r="C129" s="8">
        <f>IF($I129="","",INDEX('Batches'!$A$1:$A$302,$I129))</f>
        <v/>
      </c>
      <c r="D129" s="8">
        <f>IF($I129="","",INDEX('Batches'!$B$1:$B$302,$I129))</f>
        <v/>
      </c>
      <c r="E129" s="8">
        <f>IF($I129="","",INDEX('Batches'!$C$1:$C$302,$I129))</f>
        <v/>
      </c>
      <c r="F129" s="8">
        <f>IF($I129="","",INDEX('Batches'!$G$1:$G$302,$I129))</f>
        <v/>
      </c>
      <c r="G129" s="16">
        <f>IF($I129="","",INDEX('Batches'!$H$1:$H$302,$I129))</f>
        <v/>
      </c>
      <c r="I129" s="16">
        <f>IFERROR(ROUND(MOD(SMALL('Batches'!$J$3:$J$302,125),1)*100000,0),"")</f>
        <v/>
      </c>
    </row>
    <row r="130">
      <c r="A130" s="18">
        <f>IF($I130="","",INDEX('Batches'!$D$1:$D$302,$I130))</f>
        <v/>
      </c>
      <c r="B130" s="16">
        <f>IF($I130="","",INDEX('Batches'!$I$1:$I$302,$I130))</f>
        <v/>
      </c>
      <c r="C130" s="8">
        <f>IF($I130="","",INDEX('Batches'!$A$1:$A$302,$I130))</f>
        <v/>
      </c>
      <c r="D130" s="8">
        <f>IF($I130="","",INDEX('Batches'!$B$1:$B$302,$I130))</f>
        <v/>
      </c>
      <c r="E130" s="8">
        <f>IF($I130="","",INDEX('Batches'!$C$1:$C$302,$I130))</f>
        <v/>
      </c>
      <c r="F130" s="8">
        <f>IF($I130="","",INDEX('Batches'!$G$1:$G$302,$I130))</f>
        <v/>
      </c>
      <c r="G130" s="16">
        <f>IF($I130="","",INDEX('Batches'!$H$1:$H$302,$I130))</f>
        <v/>
      </c>
      <c r="I130" s="16">
        <f>IFERROR(ROUND(MOD(SMALL('Batches'!$J$3:$J$302,126),1)*100000,0),"")</f>
        <v/>
      </c>
    </row>
    <row r="131">
      <c r="A131" s="18">
        <f>IF($I131="","",INDEX('Batches'!$D$1:$D$302,$I131))</f>
        <v/>
      </c>
      <c r="B131" s="16">
        <f>IF($I131="","",INDEX('Batches'!$I$1:$I$302,$I131))</f>
        <v/>
      </c>
      <c r="C131" s="8">
        <f>IF($I131="","",INDEX('Batches'!$A$1:$A$302,$I131))</f>
        <v/>
      </c>
      <c r="D131" s="8">
        <f>IF($I131="","",INDEX('Batches'!$B$1:$B$302,$I131))</f>
        <v/>
      </c>
      <c r="E131" s="8">
        <f>IF($I131="","",INDEX('Batches'!$C$1:$C$302,$I131))</f>
        <v/>
      </c>
      <c r="F131" s="8">
        <f>IF($I131="","",INDEX('Batches'!$G$1:$G$302,$I131))</f>
        <v/>
      </c>
      <c r="G131" s="16">
        <f>IF($I131="","",INDEX('Batches'!$H$1:$H$302,$I131))</f>
        <v/>
      </c>
      <c r="I131" s="16">
        <f>IFERROR(ROUND(MOD(SMALL('Batches'!$J$3:$J$302,127),1)*100000,0),"")</f>
        <v/>
      </c>
    </row>
    <row r="132">
      <c r="A132" s="18">
        <f>IF($I132="","",INDEX('Batches'!$D$1:$D$302,$I132))</f>
        <v/>
      </c>
      <c r="B132" s="16">
        <f>IF($I132="","",INDEX('Batches'!$I$1:$I$302,$I132))</f>
        <v/>
      </c>
      <c r="C132" s="8">
        <f>IF($I132="","",INDEX('Batches'!$A$1:$A$302,$I132))</f>
        <v/>
      </c>
      <c r="D132" s="8">
        <f>IF($I132="","",INDEX('Batches'!$B$1:$B$302,$I132))</f>
        <v/>
      </c>
      <c r="E132" s="8">
        <f>IF($I132="","",INDEX('Batches'!$C$1:$C$302,$I132))</f>
        <v/>
      </c>
      <c r="F132" s="8">
        <f>IF($I132="","",INDEX('Batches'!$G$1:$G$302,$I132))</f>
        <v/>
      </c>
      <c r="G132" s="16">
        <f>IF($I132="","",INDEX('Batches'!$H$1:$H$302,$I132))</f>
        <v/>
      </c>
      <c r="I132" s="16">
        <f>IFERROR(ROUND(MOD(SMALL('Batches'!$J$3:$J$302,128),1)*100000,0),"")</f>
        <v/>
      </c>
    </row>
    <row r="133">
      <c r="A133" s="18">
        <f>IF($I133="","",INDEX('Batches'!$D$1:$D$302,$I133))</f>
        <v/>
      </c>
      <c r="B133" s="16">
        <f>IF($I133="","",INDEX('Batches'!$I$1:$I$302,$I133))</f>
        <v/>
      </c>
      <c r="C133" s="8">
        <f>IF($I133="","",INDEX('Batches'!$A$1:$A$302,$I133))</f>
        <v/>
      </c>
      <c r="D133" s="8">
        <f>IF($I133="","",INDEX('Batches'!$B$1:$B$302,$I133))</f>
        <v/>
      </c>
      <c r="E133" s="8">
        <f>IF($I133="","",INDEX('Batches'!$C$1:$C$302,$I133))</f>
        <v/>
      </c>
      <c r="F133" s="8">
        <f>IF($I133="","",INDEX('Batches'!$G$1:$G$302,$I133))</f>
        <v/>
      </c>
      <c r="G133" s="16">
        <f>IF($I133="","",INDEX('Batches'!$H$1:$H$302,$I133))</f>
        <v/>
      </c>
      <c r="I133" s="16">
        <f>IFERROR(ROUND(MOD(SMALL('Batches'!$J$3:$J$302,129),1)*100000,0),"")</f>
        <v/>
      </c>
    </row>
    <row r="134">
      <c r="A134" s="18">
        <f>IF($I134="","",INDEX('Batches'!$D$1:$D$302,$I134))</f>
        <v/>
      </c>
      <c r="B134" s="16">
        <f>IF($I134="","",INDEX('Batches'!$I$1:$I$302,$I134))</f>
        <v/>
      </c>
      <c r="C134" s="8">
        <f>IF($I134="","",INDEX('Batches'!$A$1:$A$302,$I134))</f>
        <v/>
      </c>
      <c r="D134" s="8">
        <f>IF($I134="","",INDEX('Batches'!$B$1:$B$302,$I134))</f>
        <v/>
      </c>
      <c r="E134" s="8">
        <f>IF($I134="","",INDEX('Batches'!$C$1:$C$302,$I134))</f>
        <v/>
      </c>
      <c r="F134" s="8">
        <f>IF($I134="","",INDEX('Batches'!$G$1:$G$302,$I134))</f>
        <v/>
      </c>
      <c r="G134" s="16">
        <f>IF($I134="","",INDEX('Batches'!$H$1:$H$302,$I134))</f>
        <v/>
      </c>
      <c r="I134" s="16">
        <f>IFERROR(ROUND(MOD(SMALL('Batches'!$J$3:$J$302,130),1)*100000,0),"")</f>
        <v/>
      </c>
    </row>
    <row r="135">
      <c r="A135" s="18">
        <f>IF($I135="","",INDEX('Batches'!$D$1:$D$302,$I135))</f>
        <v/>
      </c>
      <c r="B135" s="16">
        <f>IF($I135="","",INDEX('Batches'!$I$1:$I$302,$I135))</f>
        <v/>
      </c>
      <c r="C135" s="8">
        <f>IF($I135="","",INDEX('Batches'!$A$1:$A$302,$I135))</f>
        <v/>
      </c>
      <c r="D135" s="8">
        <f>IF($I135="","",INDEX('Batches'!$B$1:$B$302,$I135))</f>
        <v/>
      </c>
      <c r="E135" s="8">
        <f>IF($I135="","",INDEX('Batches'!$C$1:$C$302,$I135))</f>
        <v/>
      </c>
      <c r="F135" s="8">
        <f>IF($I135="","",INDEX('Batches'!$G$1:$G$302,$I135))</f>
        <v/>
      </c>
      <c r="G135" s="16">
        <f>IF($I135="","",INDEX('Batches'!$H$1:$H$302,$I135))</f>
        <v/>
      </c>
      <c r="I135" s="16">
        <f>IFERROR(ROUND(MOD(SMALL('Batches'!$J$3:$J$302,131),1)*100000,0),"")</f>
        <v/>
      </c>
    </row>
    <row r="136">
      <c r="A136" s="18">
        <f>IF($I136="","",INDEX('Batches'!$D$1:$D$302,$I136))</f>
        <v/>
      </c>
      <c r="B136" s="16">
        <f>IF($I136="","",INDEX('Batches'!$I$1:$I$302,$I136))</f>
        <v/>
      </c>
      <c r="C136" s="8">
        <f>IF($I136="","",INDEX('Batches'!$A$1:$A$302,$I136))</f>
        <v/>
      </c>
      <c r="D136" s="8">
        <f>IF($I136="","",INDEX('Batches'!$B$1:$B$302,$I136))</f>
        <v/>
      </c>
      <c r="E136" s="8">
        <f>IF($I136="","",INDEX('Batches'!$C$1:$C$302,$I136))</f>
        <v/>
      </c>
      <c r="F136" s="8">
        <f>IF($I136="","",INDEX('Batches'!$G$1:$G$302,$I136))</f>
        <v/>
      </c>
      <c r="G136" s="16">
        <f>IF($I136="","",INDEX('Batches'!$H$1:$H$302,$I136))</f>
        <v/>
      </c>
      <c r="I136" s="16">
        <f>IFERROR(ROUND(MOD(SMALL('Batches'!$J$3:$J$302,132),1)*100000,0),"")</f>
        <v/>
      </c>
    </row>
    <row r="137">
      <c r="A137" s="18">
        <f>IF($I137="","",INDEX('Batches'!$D$1:$D$302,$I137))</f>
        <v/>
      </c>
      <c r="B137" s="16">
        <f>IF($I137="","",INDEX('Batches'!$I$1:$I$302,$I137))</f>
        <v/>
      </c>
      <c r="C137" s="8">
        <f>IF($I137="","",INDEX('Batches'!$A$1:$A$302,$I137))</f>
        <v/>
      </c>
      <c r="D137" s="8">
        <f>IF($I137="","",INDEX('Batches'!$B$1:$B$302,$I137))</f>
        <v/>
      </c>
      <c r="E137" s="8">
        <f>IF($I137="","",INDEX('Batches'!$C$1:$C$302,$I137))</f>
        <v/>
      </c>
      <c r="F137" s="8">
        <f>IF($I137="","",INDEX('Batches'!$G$1:$G$302,$I137))</f>
        <v/>
      </c>
      <c r="G137" s="16">
        <f>IF($I137="","",INDEX('Batches'!$H$1:$H$302,$I137))</f>
        <v/>
      </c>
      <c r="I137" s="16">
        <f>IFERROR(ROUND(MOD(SMALL('Batches'!$J$3:$J$302,133),1)*100000,0),"")</f>
        <v/>
      </c>
    </row>
    <row r="138">
      <c r="A138" s="18">
        <f>IF($I138="","",INDEX('Batches'!$D$1:$D$302,$I138))</f>
        <v/>
      </c>
      <c r="B138" s="16">
        <f>IF($I138="","",INDEX('Batches'!$I$1:$I$302,$I138))</f>
        <v/>
      </c>
      <c r="C138" s="8">
        <f>IF($I138="","",INDEX('Batches'!$A$1:$A$302,$I138))</f>
        <v/>
      </c>
      <c r="D138" s="8">
        <f>IF($I138="","",INDEX('Batches'!$B$1:$B$302,$I138))</f>
        <v/>
      </c>
      <c r="E138" s="8">
        <f>IF($I138="","",INDEX('Batches'!$C$1:$C$302,$I138))</f>
        <v/>
      </c>
      <c r="F138" s="8">
        <f>IF($I138="","",INDEX('Batches'!$G$1:$G$302,$I138))</f>
        <v/>
      </c>
      <c r="G138" s="16">
        <f>IF($I138="","",INDEX('Batches'!$H$1:$H$302,$I138))</f>
        <v/>
      </c>
      <c r="I138" s="16">
        <f>IFERROR(ROUND(MOD(SMALL('Batches'!$J$3:$J$302,134),1)*100000,0),"")</f>
        <v/>
      </c>
    </row>
    <row r="139">
      <c r="A139" s="18">
        <f>IF($I139="","",INDEX('Batches'!$D$1:$D$302,$I139))</f>
        <v/>
      </c>
      <c r="B139" s="16">
        <f>IF($I139="","",INDEX('Batches'!$I$1:$I$302,$I139))</f>
        <v/>
      </c>
      <c r="C139" s="8">
        <f>IF($I139="","",INDEX('Batches'!$A$1:$A$302,$I139))</f>
        <v/>
      </c>
      <c r="D139" s="8">
        <f>IF($I139="","",INDEX('Batches'!$B$1:$B$302,$I139))</f>
        <v/>
      </c>
      <c r="E139" s="8">
        <f>IF($I139="","",INDEX('Batches'!$C$1:$C$302,$I139))</f>
        <v/>
      </c>
      <c r="F139" s="8">
        <f>IF($I139="","",INDEX('Batches'!$G$1:$G$302,$I139))</f>
        <v/>
      </c>
      <c r="G139" s="16">
        <f>IF($I139="","",INDEX('Batches'!$H$1:$H$302,$I139))</f>
        <v/>
      </c>
      <c r="I139" s="16">
        <f>IFERROR(ROUND(MOD(SMALL('Batches'!$J$3:$J$302,135),1)*100000,0),"")</f>
        <v/>
      </c>
    </row>
    <row r="140">
      <c r="A140" s="18">
        <f>IF($I140="","",INDEX('Batches'!$D$1:$D$302,$I140))</f>
        <v/>
      </c>
      <c r="B140" s="16">
        <f>IF($I140="","",INDEX('Batches'!$I$1:$I$302,$I140))</f>
        <v/>
      </c>
      <c r="C140" s="8">
        <f>IF($I140="","",INDEX('Batches'!$A$1:$A$302,$I140))</f>
        <v/>
      </c>
      <c r="D140" s="8">
        <f>IF($I140="","",INDEX('Batches'!$B$1:$B$302,$I140))</f>
        <v/>
      </c>
      <c r="E140" s="8">
        <f>IF($I140="","",INDEX('Batches'!$C$1:$C$302,$I140))</f>
        <v/>
      </c>
      <c r="F140" s="8">
        <f>IF($I140="","",INDEX('Batches'!$G$1:$G$302,$I140))</f>
        <v/>
      </c>
      <c r="G140" s="16">
        <f>IF($I140="","",INDEX('Batches'!$H$1:$H$302,$I140))</f>
        <v/>
      </c>
      <c r="I140" s="16">
        <f>IFERROR(ROUND(MOD(SMALL('Batches'!$J$3:$J$302,136),1)*100000,0),"")</f>
        <v/>
      </c>
    </row>
    <row r="141">
      <c r="A141" s="18">
        <f>IF($I141="","",INDEX('Batches'!$D$1:$D$302,$I141))</f>
        <v/>
      </c>
      <c r="B141" s="16">
        <f>IF($I141="","",INDEX('Batches'!$I$1:$I$302,$I141))</f>
        <v/>
      </c>
      <c r="C141" s="8">
        <f>IF($I141="","",INDEX('Batches'!$A$1:$A$302,$I141))</f>
        <v/>
      </c>
      <c r="D141" s="8">
        <f>IF($I141="","",INDEX('Batches'!$B$1:$B$302,$I141))</f>
        <v/>
      </c>
      <c r="E141" s="8">
        <f>IF($I141="","",INDEX('Batches'!$C$1:$C$302,$I141))</f>
        <v/>
      </c>
      <c r="F141" s="8">
        <f>IF($I141="","",INDEX('Batches'!$G$1:$G$302,$I141))</f>
        <v/>
      </c>
      <c r="G141" s="16">
        <f>IF($I141="","",INDEX('Batches'!$H$1:$H$302,$I141))</f>
        <v/>
      </c>
      <c r="I141" s="16">
        <f>IFERROR(ROUND(MOD(SMALL('Batches'!$J$3:$J$302,137),1)*100000,0),"")</f>
        <v/>
      </c>
    </row>
    <row r="142">
      <c r="A142" s="18">
        <f>IF($I142="","",INDEX('Batches'!$D$1:$D$302,$I142))</f>
        <v/>
      </c>
      <c r="B142" s="16">
        <f>IF($I142="","",INDEX('Batches'!$I$1:$I$302,$I142))</f>
        <v/>
      </c>
      <c r="C142" s="8">
        <f>IF($I142="","",INDEX('Batches'!$A$1:$A$302,$I142))</f>
        <v/>
      </c>
      <c r="D142" s="8">
        <f>IF($I142="","",INDEX('Batches'!$B$1:$B$302,$I142))</f>
        <v/>
      </c>
      <c r="E142" s="8">
        <f>IF($I142="","",INDEX('Batches'!$C$1:$C$302,$I142))</f>
        <v/>
      </c>
      <c r="F142" s="8">
        <f>IF($I142="","",INDEX('Batches'!$G$1:$G$302,$I142))</f>
        <v/>
      </c>
      <c r="G142" s="16">
        <f>IF($I142="","",INDEX('Batches'!$H$1:$H$302,$I142))</f>
        <v/>
      </c>
      <c r="I142" s="16">
        <f>IFERROR(ROUND(MOD(SMALL('Batches'!$J$3:$J$302,138),1)*100000,0),"")</f>
        <v/>
      </c>
    </row>
    <row r="143">
      <c r="A143" s="18">
        <f>IF($I143="","",INDEX('Batches'!$D$1:$D$302,$I143))</f>
        <v/>
      </c>
      <c r="B143" s="16">
        <f>IF($I143="","",INDEX('Batches'!$I$1:$I$302,$I143))</f>
        <v/>
      </c>
      <c r="C143" s="8">
        <f>IF($I143="","",INDEX('Batches'!$A$1:$A$302,$I143))</f>
        <v/>
      </c>
      <c r="D143" s="8">
        <f>IF($I143="","",INDEX('Batches'!$B$1:$B$302,$I143))</f>
        <v/>
      </c>
      <c r="E143" s="8">
        <f>IF($I143="","",INDEX('Batches'!$C$1:$C$302,$I143))</f>
        <v/>
      </c>
      <c r="F143" s="8">
        <f>IF($I143="","",INDEX('Batches'!$G$1:$G$302,$I143))</f>
        <v/>
      </c>
      <c r="G143" s="16">
        <f>IF($I143="","",INDEX('Batches'!$H$1:$H$302,$I143))</f>
        <v/>
      </c>
      <c r="I143" s="16">
        <f>IFERROR(ROUND(MOD(SMALL('Batches'!$J$3:$J$302,139),1)*100000,0),"")</f>
        <v/>
      </c>
    </row>
    <row r="144">
      <c r="A144" s="18">
        <f>IF($I144="","",INDEX('Batches'!$D$1:$D$302,$I144))</f>
        <v/>
      </c>
      <c r="B144" s="16">
        <f>IF($I144="","",INDEX('Batches'!$I$1:$I$302,$I144))</f>
        <v/>
      </c>
      <c r="C144" s="8">
        <f>IF($I144="","",INDEX('Batches'!$A$1:$A$302,$I144))</f>
        <v/>
      </c>
      <c r="D144" s="8">
        <f>IF($I144="","",INDEX('Batches'!$B$1:$B$302,$I144))</f>
        <v/>
      </c>
      <c r="E144" s="8">
        <f>IF($I144="","",INDEX('Batches'!$C$1:$C$302,$I144))</f>
        <v/>
      </c>
      <c r="F144" s="8">
        <f>IF($I144="","",INDEX('Batches'!$G$1:$G$302,$I144))</f>
        <v/>
      </c>
      <c r="G144" s="16">
        <f>IF($I144="","",INDEX('Batches'!$H$1:$H$302,$I144))</f>
        <v/>
      </c>
      <c r="I144" s="16">
        <f>IFERROR(ROUND(MOD(SMALL('Batches'!$J$3:$J$302,140),1)*100000,0),"")</f>
        <v/>
      </c>
    </row>
    <row r="145">
      <c r="A145" s="18">
        <f>IF($I145="","",INDEX('Batches'!$D$1:$D$302,$I145))</f>
        <v/>
      </c>
      <c r="B145" s="16">
        <f>IF($I145="","",INDEX('Batches'!$I$1:$I$302,$I145))</f>
        <v/>
      </c>
      <c r="C145" s="8">
        <f>IF($I145="","",INDEX('Batches'!$A$1:$A$302,$I145))</f>
        <v/>
      </c>
      <c r="D145" s="8">
        <f>IF($I145="","",INDEX('Batches'!$B$1:$B$302,$I145))</f>
        <v/>
      </c>
      <c r="E145" s="8">
        <f>IF($I145="","",INDEX('Batches'!$C$1:$C$302,$I145))</f>
        <v/>
      </c>
      <c r="F145" s="8">
        <f>IF($I145="","",INDEX('Batches'!$G$1:$G$302,$I145))</f>
        <v/>
      </c>
      <c r="G145" s="16">
        <f>IF($I145="","",INDEX('Batches'!$H$1:$H$302,$I145))</f>
        <v/>
      </c>
      <c r="I145" s="16">
        <f>IFERROR(ROUND(MOD(SMALL('Batches'!$J$3:$J$302,141),1)*100000,0),"")</f>
        <v/>
      </c>
    </row>
    <row r="146">
      <c r="A146" s="18">
        <f>IF($I146="","",INDEX('Batches'!$D$1:$D$302,$I146))</f>
        <v/>
      </c>
      <c r="B146" s="16">
        <f>IF($I146="","",INDEX('Batches'!$I$1:$I$302,$I146))</f>
        <v/>
      </c>
      <c r="C146" s="8">
        <f>IF($I146="","",INDEX('Batches'!$A$1:$A$302,$I146))</f>
        <v/>
      </c>
      <c r="D146" s="8">
        <f>IF($I146="","",INDEX('Batches'!$B$1:$B$302,$I146))</f>
        <v/>
      </c>
      <c r="E146" s="8">
        <f>IF($I146="","",INDEX('Batches'!$C$1:$C$302,$I146))</f>
        <v/>
      </c>
      <c r="F146" s="8">
        <f>IF($I146="","",INDEX('Batches'!$G$1:$G$302,$I146))</f>
        <v/>
      </c>
      <c r="G146" s="16">
        <f>IF($I146="","",INDEX('Batches'!$H$1:$H$302,$I146))</f>
        <v/>
      </c>
      <c r="I146" s="16">
        <f>IFERROR(ROUND(MOD(SMALL('Batches'!$J$3:$J$302,142),1)*100000,0),"")</f>
        <v/>
      </c>
    </row>
    <row r="147">
      <c r="A147" s="18">
        <f>IF($I147="","",INDEX('Batches'!$D$1:$D$302,$I147))</f>
        <v/>
      </c>
      <c r="B147" s="16">
        <f>IF($I147="","",INDEX('Batches'!$I$1:$I$302,$I147))</f>
        <v/>
      </c>
      <c r="C147" s="8">
        <f>IF($I147="","",INDEX('Batches'!$A$1:$A$302,$I147))</f>
        <v/>
      </c>
      <c r="D147" s="8">
        <f>IF($I147="","",INDEX('Batches'!$B$1:$B$302,$I147))</f>
        <v/>
      </c>
      <c r="E147" s="8">
        <f>IF($I147="","",INDEX('Batches'!$C$1:$C$302,$I147))</f>
        <v/>
      </c>
      <c r="F147" s="8">
        <f>IF($I147="","",INDEX('Batches'!$G$1:$G$302,$I147))</f>
        <v/>
      </c>
      <c r="G147" s="16">
        <f>IF($I147="","",INDEX('Batches'!$H$1:$H$302,$I147))</f>
        <v/>
      </c>
      <c r="I147" s="16">
        <f>IFERROR(ROUND(MOD(SMALL('Batches'!$J$3:$J$302,143),1)*100000,0),"")</f>
        <v/>
      </c>
    </row>
    <row r="148">
      <c r="A148" s="18">
        <f>IF($I148="","",INDEX('Batches'!$D$1:$D$302,$I148))</f>
        <v/>
      </c>
      <c r="B148" s="16">
        <f>IF($I148="","",INDEX('Batches'!$I$1:$I$302,$I148))</f>
        <v/>
      </c>
      <c r="C148" s="8">
        <f>IF($I148="","",INDEX('Batches'!$A$1:$A$302,$I148))</f>
        <v/>
      </c>
      <c r="D148" s="8">
        <f>IF($I148="","",INDEX('Batches'!$B$1:$B$302,$I148))</f>
        <v/>
      </c>
      <c r="E148" s="8">
        <f>IF($I148="","",INDEX('Batches'!$C$1:$C$302,$I148))</f>
        <v/>
      </c>
      <c r="F148" s="8">
        <f>IF($I148="","",INDEX('Batches'!$G$1:$G$302,$I148))</f>
        <v/>
      </c>
      <c r="G148" s="16">
        <f>IF($I148="","",INDEX('Batches'!$H$1:$H$302,$I148))</f>
        <v/>
      </c>
      <c r="I148" s="16">
        <f>IFERROR(ROUND(MOD(SMALL('Batches'!$J$3:$J$302,144),1)*100000,0),"")</f>
        <v/>
      </c>
    </row>
    <row r="149">
      <c r="A149" s="18">
        <f>IF($I149="","",INDEX('Batches'!$D$1:$D$302,$I149))</f>
        <v/>
      </c>
      <c r="B149" s="16">
        <f>IF($I149="","",INDEX('Batches'!$I$1:$I$302,$I149))</f>
        <v/>
      </c>
      <c r="C149" s="8">
        <f>IF($I149="","",INDEX('Batches'!$A$1:$A$302,$I149))</f>
        <v/>
      </c>
      <c r="D149" s="8">
        <f>IF($I149="","",INDEX('Batches'!$B$1:$B$302,$I149))</f>
        <v/>
      </c>
      <c r="E149" s="8">
        <f>IF($I149="","",INDEX('Batches'!$C$1:$C$302,$I149))</f>
        <v/>
      </c>
      <c r="F149" s="8">
        <f>IF($I149="","",INDEX('Batches'!$G$1:$G$302,$I149))</f>
        <v/>
      </c>
      <c r="G149" s="16">
        <f>IF($I149="","",INDEX('Batches'!$H$1:$H$302,$I149))</f>
        <v/>
      </c>
      <c r="I149" s="16">
        <f>IFERROR(ROUND(MOD(SMALL('Batches'!$J$3:$J$302,145),1)*100000,0),"")</f>
        <v/>
      </c>
    </row>
    <row r="150">
      <c r="A150" s="18">
        <f>IF($I150="","",INDEX('Batches'!$D$1:$D$302,$I150))</f>
        <v/>
      </c>
      <c r="B150" s="16">
        <f>IF($I150="","",INDEX('Batches'!$I$1:$I$302,$I150))</f>
        <v/>
      </c>
      <c r="C150" s="8">
        <f>IF($I150="","",INDEX('Batches'!$A$1:$A$302,$I150))</f>
        <v/>
      </c>
      <c r="D150" s="8">
        <f>IF($I150="","",INDEX('Batches'!$B$1:$B$302,$I150))</f>
        <v/>
      </c>
      <c r="E150" s="8">
        <f>IF($I150="","",INDEX('Batches'!$C$1:$C$302,$I150))</f>
        <v/>
      </c>
      <c r="F150" s="8">
        <f>IF($I150="","",INDEX('Batches'!$G$1:$G$302,$I150))</f>
        <v/>
      </c>
      <c r="G150" s="16">
        <f>IF($I150="","",INDEX('Batches'!$H$1:$H$302,$I150))</f>
        <v/>
      </c>
      <c r="I150" s="16">
        <f>IFERROR(ROUND(MOD(SMALL('Batches'!$J$3:$J$302,146),1)*100000,0),"")</f>
        <v/>
      </c>
    </row>
    <row r="151">
      <c r="A151" s="18">
        <f>IF($I151="","",INDEX('Batches'!$D$1:$D$302,$I151))</f>
        <v/>
      </c>
      <c r="B151" s="16">
        <f>IF($I151="","",INDEX('Batches'!$I$1:$I$302,$I151))</f>
        <v/>
      </c>
      <c r="C151" s="8">
        <f>IF($I151="","",INDEX('Batches'!$A$1:$A$302,$I151))</f>
        <v/>
      </c>
      <c r="D151" s="8">
        <f>IF($I151="","",INDEX('Batches'!$B$1:$B$302,$I151))</f>
        <v/>
      </c>
      <c r="E151" s="8">
        <f>IF($I151="","",INDEX('Batches'!$C$1:$C$302,$I151))</f>
        <v/>
      </c>
      <c r="F151" s="8">
        <f>IF($I151="","",INDEX('Batches'!$G$1:$G$302,$I151))</f>
        <v/>
      </c>
      <c r="G151" s="16">
        <f>IF($I151="","",INDEX('Batches'!$H$1:$H$302,$I151))</f>
        <v/>
      </c>
      <c r="I151" s="16">
        <f>IFERROR(ROUND(MOD(SMALL('Batches'!$J$3:$J$302,147),1)*100000,0),"")</f>
        <v/>
      </c>
    </row>
    <row r="152">
      <c r="A152" s="18">
        <f>IF($I152="","",INDEX('Batches'!$D$1:$D$302,$I152))</f>
        <v/>
      </c>
      <c r="B152" s="16">
        <f>IF($I152="","",INDEX('Batches'!$I$1:$I$302,$I152))</f>
        <v/>
      </c>
      <c r="C152" s="8">
        <f>IF($I152="","",INDEX('Batches'!$A$1:$A$302,$I152))</f>
        <v/>
      </c>
      <c r="D152" s="8">
        <f>IF($I152="","",INDEX('Batches'!$B$1:$B$302,$I152))</f>
        <v/>
      </c>
      <c r="E152" s="8">
        <f>IF($I152="","",INDEX('Batches'!$C$1:$C$302,$I152))</f>
        <v/>
      </c>
      <c r="F152" s="8">
        <f>IF($I152="","",INDEX('Batches'!$G$1:$G$302,$I152))</f>
        <v/>
      </c>
      <c r="G152" s="16">
        <f>IF($I152="","",INDEX('Batches'!$H$1:$H$302,$I152))</f>
        <v/>
      </c>
      <c r="I152" s="16">
        <f>IFERROR(ROUND(MOD(SMALL('Batches'!$J$3:$J$302,148),1)*100000,0),"")</f>
        <v/>
      </c>
    </row>
    <row r="153">
      <c r="A153" s="18">
        <f>IF($I153="","",INDEX('Batches'!$D$1:$D$302,$I153))</f>
        <v/>
      </c>
      <c r="B153" s="16">
        <f>IF($I153="","",INDEX('Batches'!$I$1:$I$302,$I153))</f>
        <v/>
      </c>
      <c r="C153" s="8">
        <f>IF($I153="","",INDEX('Batches'!$A$1:$A$302,$I153))</f>
        <v/>
      </c>
      <c r="D153" s="8">
        <f>IF($I153="","",INDEX('Batches'!$B$1:$B$302,$I153))</f>
        <v/>
      </c>
      <c r="E153" s="8">
        <f>IF($I153="","",INDEX('Batches'!$C$1:$C$302,$I153))</f>
        <v/>
      </c>
      <c r="F153" s="8">
        <f>IF($I153="","",INDEX('Batches'!$G$1:$G$302,$I153))</f>
        <v/>
      </c>
      <c r="G153" s="16">
        <f>IF($I153="","",INDEX('Batches'!$H$1:$H$302,$I153))</f>
        <v/>
      </c>
      <c r="I153" s="16">
        <f>IFERROR(ROUND(MOD(SMALL('Batches'!$J$3:$J$302,149),1)*100000,0),"")</f>
        <v/>
      </c>
    </row>
    <row r="154">
      <c r="A154" s="18">
        <f>IF($I154="","",INDEX('Batches'!$D$1:$D$302,$I154))</f>
        <v/>
      </c>
      <c r="B154" s="16">
        <f>IF($I154="","",INDEX('Batches'!$I$1:$I$302,$I154))</f>
        <v/>
      </c>
      <c r="C154" s="8">
        <f>IF($I154="","",INDEX('Batches'!$A$1:$A$302,$I154))</f>
        <v/>
      </c>
      <c r="D154" s="8">
        <f>IF($I154="","",INDEX('Batches'!$B$1:$B$302,$I154))</f>
        <v/>
      </c>
      <c r="E154" s="8">
        <f>IF($I154="","",INDEX('Batches'!$C$1:$C$302,$I154))</f>
        <v/>
      </c>
      <c r="F154" s="8">
        <f>IF($I154="","",INDEX('Batches'!$G$1:$G$302,$I154))</f>
        <v/>
      </c>
      <c r="G154" s="16">
        <f>IF($I154="","",INDEX('Batches'!$H$1:$H$302,$I154))</f>
        <v/>
      </c>
      <c r="I154" s="16">
        <f>IFERROR(ROUND(MOD(SMALL('Batches'!$J$3:$J$302,150),1)*100000,0),"")</f>
        <v/>
      </c>
    </row>
    <row r="155">
      <c r="A155" s="18">
        <f>IF($I155="","",INDEX('Batches'!$D$1:$D$302,$I155))</f>
        <v/>
      </c>
      <c r="B155" s="16">
        <f>IF($I155="","",INDEX('Batches'!$I$1:$I$302,$I155))</f>
        <v/>
      </c>
      <c r="C155" s="8">
        <f>IF($I155="","",INDEX('Batches'!$A$1:$A$302,$I155))</f>
        <v/>
      </c>
      <c r="D155" s="8">
        <f>IF($I155="","",INDEX('Batches'!$B$1:$B$302,$I155))</f>
        <v/>
      </c>
      <c r="E155" s="8">
        <f>IF($I155="","",INDEX('Batches'!$C$1:$C$302,$I155))</f>
        <v/>
      </c>
      <c r="F155" s="8">
        <f>IF($I155="","",INDEX('Batches'!$G$1:$G$302,$I155))</f>
        <v/>
      </c>
      <c r="G155" s="16">
        <f>IF($I155="","",INDEX('Batches'!$H$1:$H$302,$I155))</f>
        <v/>
      </c>
      <c r="I155" s="16">
        <f>IFERROR(ROUND(MOD(SMALL('Batches'!$J$3:$J$302,151),1)*100000,0),"")</f>
        <v/>
      </c>
    </row>
    <row r="156">
      <c r="A156" s="18">
        <f>IF($I156="","",INDEX('Batches'!$D$1:$D$302,$I156))</f>
        <v/>
      </c>
      <c r="B156" s="16">
        <f>IF($I156="","",INDEX('Batches'!$I$1:$I$302,$I156))</f>
        <v/>
      </c>
      <c r="C156" s="8">
        <f>IF($I156="","",INDEX('Batches'!$A$1:$A$302,$I156))</f>
        <v/>
      </c>
      <c r="D156" s="8">
        <f>IF($I156="","",INDEX('Batches'!$B$1:$B$302,$I156))</f>
        <v/>
      </c>
      <c r="E156" s="8">
        <f>IF($I156="","",INDEX('Batches'!$C$1:$C$302,$I156))</f>
        <v/>
      </c>
      <c r="F156" s="8">
        <f>IF($I156="","",INDEX('Batches'!$G$1:$G$302,$I156))</f>
        <v/>
      </c>
      <c r="G156" s="16">
        <f>IF($I156="","",INDEX('Batches'!$H$1:$H$302,$I156))</f>
        <v/>
      </c>
      <c r="I156" s="16">
        <f>IFERROR(ROUND(MOD(SMALL('Batches'!$J$3:$J$302,152),1)*100000,0),"")</f>
        <v/>
      </c>
    </row>
    <row r="157">
      <c r="A157" s="18">
        <f>IF($I157="","",INDEX('Batches'!$D$1:$D$302,$I157))</f>
        <v/>
      </c>
      <c r="B157" s="16">
        <f>IF($I157="","",INDEX('Batches'!$I$1:$I$302,$I157))</f>
        <v/>
      </c>
      <c r="C157" s="8">
        <f>IF($I157="","",INDEX('Batches'!$A$1:$A$302,$I157))</f>
        <v/>
      </c>
      <c r="D157" s="8">
        <f>IF($I157="","",INDEX('Batches'!$B$1:$B$302,$I157))</f>
        <v/>
      </c>
      <c r="E157" s="8">
        <f>IF($I157="","",INDEX('Batches'!$C$1:$C$302,$I157))</f>
        <v/>
      </c>
      <c r="F157" s="8">
        <f>IF($I157="","",INDEX('Batches'!$G$1:$G$302,$I157))</f>
        <v/>
      </c>
      <c r="G157" s="16">
        <f>IF($I157="","",INDEX('Batches'!$H$1:$H$302,$I157))</f>
        <v/>
      </c>
      <c r="I157" s="16">
        <f>IFERROR(ROUND(MOD(SMALL('Batches'!$J$3:$J$302,153),1)*100000,0),"")</f>
        <v/>
      </c>
    </row>
    <row r="158">
      <c r="A158" s="18">
        <f>IF($I158="","",INDEX('Batches'!$D$1:$D$302,$I158))</f>
        <v/>
      </c>
      <c r="B158" s="16">
        <f>IF($I158="","",INDEX('Batches'!$I$1:$I$302,$I158))</f>
        <v/>
      </c>
      <c r="C158" s="8">
        <f>IF($I158="","",INDEX('Batches'!$A$1:$A$302,$I158))</f>
        <v/>
      </c>
      <c r="D158" s="8">
        <f>IF($I158="","",INDEX('Batches'!$B$1:$B$302,$I158))</f>
        <v/>
      </c>
      <c r="E158" s="8">
        <f>IF($I158="","",INDEX('Batches'!$C$1:$C$302,$I158))</f>
        <v/>
      </c>
      <c r="F158" s="8">
        <f>IF($I158="","",INDEX('Batches'!$G$1:$G$302,$I158))</f>
        <v/>
      </c>
      <c r="G158" s="16">
        <f>IF($I158="","",INDEX('Batches'!$H$1:$H$302,$I158))</f>
        <v/>
      </c>
      <c r="I158" s="16">
        <f>IFERROR(ROUND(MOD(SMALL('Batches'!$J$3:$J$302,154),1)*100000,0),"")</f>
        <v/>
      </c>
    </row>
    <row r="159">
      <c r="A159" s="18">
        <f>IF($I159="","",INDEX('Batches'!$D$1:$D$302,$I159))</f>
        <v/>
      </c>
      <c r="B159" s="16">
        <f>IF($I159="","",INDEX('Batches'!$I$1:$I$302,$I159))</f>
        <v/>
      </c>
      <c r="C159" s="8">
        <f>IF($I159="","",INDEX('Batches'!$A$1:$A$302,$I159))</f>
        <v/>
      </c>
      <c r="D159" s="8">
        <f>IF($I159="","",INDEX('Batches'!$B$1:$B$302,$I159))</f>
        <v/>
      </c>
      <c r="E159" s="8">
        <f>IF($I159="","",INDEX('Batches'!$C$1:$C$302,$I159))</f>
        <v/>
      </c>
      <c r="F159" s="8">
        <f>IF($I159="","",INDEX('Batches'!$G$1:$G$302,$I159))</f>
        <v/>
      </c>
      <c r="G159" s="16">
        <f>IF($I159="","",INDEX('Batches'!$H$1:$H$302,$I159))</f>
        <v/>
      </c>
      <c r="I159" s="16">
        <f>IFERROR(ROUND(MOD(SMALL('Batches'!$J$3:$J$302,155),1)*100000,0),"")</f>
        <v/>
      </c>
    </row>
    <row r="160">
      <c r="A160" s="18">
        <f>IF($I160="","",INDEX('Batches'!$D$1:$D$302,$I160))</f>
        <v/>
      </c>
      <c r="B160" s="16">
        <f>IF($I160="","",INDEX('Batches'!$I$1:$I$302,$I160))</f>
        <v/>
      </c>
      <c r="C160" s="8">
        <f>IF($I160="","",INDEX('Batches'!$A$1:$A$302,$I160))</f>
        <v/>
      </c>
      <c r="D160" s="8">
        <f>IF($I160="","",INDEX('Batches'!$B$1:$B$302,$I160))</f>
        <v/>
      </c>
      <c r="E160" s="8">
        <f>IF($I160="","",INDEX('Batches'!$C$1:$C$302,$I160))</f>
        <v/>
      </c>
      <c r="F160" s="8">
        <f>IF($I160="","",INDEX('Batches'!$G$1:$G$302,$I160))</f>
        <v/>
      </c>
      <c r="G160" s="16">
        <f>IF($I160="","",INDEX('Batches'!$H$1:$H$302,$I160))</f>
        <v/>
      </c>
      <c r="I160" s="16">
        <f>IFERROR(ROUND(MOD(SMALL('Batches'!$J$3:$J$302,156),1)*100000,0),"")</f>
        <v/>
      </c>
    </row>
    <row r="161">
      <c r="A161" s="18">
        <f>IF($I161="","",INDEX('Batches'!$D$1:$D$302,$I161))</f>
        <v/>
      </c>
      <c r="B161" s="16">
        <f>IF($I161="","",INDEX('Batches'!$I$1:$I$302,$I161))</f>
        <v/>
      </c>
      <c r="C161" s="8">
        <f>IF($I161="","",INDEX('Batches'!$A$1:$A$302,$I161))</f>
        <v/>
      </c>
      <c r="D161" s="8">
        <f>IF($I161="","",INDEX('Batches'!$B$1:$B$302,$I161))</f>
        <v/>
      </c>
      <c r="E161" s="8">
        <f>IF($I161="","",INDEX('Batches'!$C$1:$C$302,$I161))</f>
        <v/>
      </c>
      <c r="F161" s="8">
        <f>IF($I161="","",INDEX('Batches'!$G$1:$G$302,$I161))</f>
        <v/>
      </c>
      <c r="G161" s="16">
        <f>IF($I161="","",INDEX('Batches'!$H$1:$H$302,$I161))</f>
        <v/>
      </c>
      <c r="I161" s="16">
        <f>IFERROR(ROUND(MOD(SMALL('Batches'!$J$3:$J$302,157),1)*100000,0),"")</f>
        <v/>
      </c>
    </row>
    <row r="162">
      <c r="A162" s="18">
        <f>IF($I162="","",INDEX('Batches'!$D$1:$D$302,$I162))</f>
        <v/>
      </c>
      <c r="B162" s="16">
        <f>IF($I162="","",INDEX('Batches'!$I$1:$I$302,$I162))</f>
        <v/>
      </c>
      <c r="C162" s="8">
        <f>IF($I162="","",INDEX('Batches'!$A$1:$A$302,$I162))</f>
        <v/>
      </c>
      <c r="D162" s="8">
        <f>IF($I162="","",INDEX('Batches'!$B$1:$B$302,$I162))</f>
        <v/>
      </c>
      <c r="E162" s="8">
        <f>IF($I162="","",INDEX('Batches'!$C$1:$C$302,$I162))</f>
        <v/>
      </c>
      <c r="F162" s="8">
        <f>IF($I162="","",INDEX('Batches'!$G$1:$G$302,$I162))</f>
        <v/>
      </c>
      <c r="G162" s="16">
        <f>IF($I162="","",INDEX('Batches'!$H$1:$H$302,$I162))</f>
        <v/>
      </c>
      <c r="I162" s="16">
        <f>IFERROR(ROUND(MOD(SMALL('Batches'!$J$3:$J$302,158),1)*100000,0),"")</f>
        <v/>
      </c>
    </row>
    <row r="163">
      <c r="A163" s="18">
        <f>IF($I163="","",INDEX('Batches'!$D$1:$D$302,$I163))</f>
        <v/>
      </c>
      <c r="B163" s="16">
        <f>IF($I163="","",INDEX('Batches'!$I$1:$I$302,$I163))</f>
        <v/>
      </c>
      <c r="C163" s="8">
        <f>IF($I163="","",INDEX('Batches'!$A$1:$A$302,$I163))</f>
        <v/>
      </c>
      <c r="D163" s="8">
        <f>IF($I163="","",INDEX('Batches'!$B$1:$B$302,$I163))</f>
        <v/>
      </c>
      <c r="E163" s="8">
        <f>IF($I163="","",INDEX('Batches'!$C$1:$C$302,$I163))</f>
        <v/>
      </c>
      <c r="F163" s="8">
        <f>IF($I163="","",INDEX('Batches'!$G$1:$G$302,$I163))</f>
        <v/>
      </c>
      <c r="G163" s="16">
        <f>IF($I163="","",INDEX('Batches'!$H$1:$H$302,$I163))</f>
        <v/>
      </c>
      <c r="I163" s="16">
        <f>IFERROR(ROUND(MOD(SMALL('Batches'!$J$3:$J$302,159),1)*100000,0),"")</f>
        <v/>
      </c>
    </row>
    <row r="164">
      <c r="A164" s="18">
        <f>IF($I164="","",INDEX('Batches'!$D$1:$D$302,$I164))</f>
        <v/>
      </c>
      <c r="B164" s="16">
        <f>IF($I164="","",INDEX('Batches'!$I$1:$I$302,$I164))</f>
        <v/>
      </c>
      <c r="C164" s="8">
        <f>IF($I164="","",INDEX('Batches'!$A$1:$A$302,$I164))</f>
        <v/>
      </c>
      <c r="D164" s="8">
        <f>IF($I164="","",INDEX('Batches'!$B$1:$B$302,$I164))</f>
        <v/>
      </c>
      <c r="E164" s="8">
        <f>IF($I164="","",INDEX('Batches'!$C$1:$C$302,$I164))</f>
        <v/>
      </c>
      <c r="F164" s="8">
        <f>IF($I164="","",INDEX('Batches'!$G$1:$G$302,$I164))</f>
        <v/>
      </c>
      <c r="G164" s="16">
        <f>IF($I164="","",INDEX('Batches'!$H$1:$H$302,$I164))</f>
        <v/>
      </c>
      <c r="I164" s="16">
        <f>IFERROR(ROUND(MOD(SMALL('Batches'!$J$3:$J$302,160),1)*100000,0),"")</f>
        <v/>
      </c>
    </row>
    <row r="165">
      <c r="A165" s="18">
        <f>IF($I165="","",INDEX('Batches'!$D$1:$D$302,$I165))</f>
        <v/>
      </c>
      <c r="B165" s="16">
        <f>IF($I165="","",INDEX('Batches'!$I$1:$I$302,$I165))</f>
        <v/>
      </c>
      <c r="C165" s="8">
        <f>IF($I165="","",INDEX('Batches'!$A$1:$A$302,$I165))</f>
        <v/>
      </c>
      <c r="D165" s="8">
        <f>IF($I165="","",INDEX('Batches'!$B$1:$B$302,$I165))</f>
        <v/>
      </c>
      <c r="E165" s="8">
        <f>IF($I165="","",INDEX('Batches'!$C$1:$C$302,$I165))</f>
        <v/>
      </c>
      <c r="F165" s="8">
        <f>IF($I165="","",INDEX('Batches'!$G$1:$G$302,$I165))</f>
        <v/>
      </c>
      <c r="G165" s="16">
        <f>IF($I165="","",INDEX('Batches'!$H$1:$H$302,$I165))</f>
        <v/>
      </c>
      <c r="I165" s="16">
        <f>IFERROR(ROUND(MOD(SMALL('Batches'!$J$3:$J$302,161),1)*100000,0),"")</f>
        <v/>
      </c>
    </row>
    <row r="166">
      <c r="A166" s="18">
        <f>IF($I166="","",INDEX('Batches'!$D$1:$D$302,$I166))</f>
        <v/>
      </c>
      <c r="B166" s="16">
        <f>IF($I166="","",INDEX('Batches'!$I$1:$I$302,$I166))</f>
        <v/>
      </c>
      <c r="C166" s="8">
        <f>IF($I166="","",INDEX('Batches'!$A$1:$A$302,$I166))</f>
        <v/>
      </c>
      <c r="D166" s="8">
        <f>IF($I166="","",INDEX('Batches'!$B$1:$B$302,$I166))</f>
        <v/>
      </c>
      <c r="E166" s="8">
        <f>IF($I166="","",INDEX('Batches'!$C$1:$C$302,$I166))</f>
        <v/>
      </c>
      <c r="F166" s="8">
        <f>IF($I166="","",INDEX('Batches'!$G$1:$G$302,$I166))</f>
        <v/>
      </c>
      <c r="G166" s="16">
        <f>IF($I166="","",INDEX('Batches'!$H$1:$H$302,$I166))</f>
        <v/>
      </c>
      <c r="I166" s="16">
        <f>IFERROR(ROUND(MOD(SMALL('Batches'!$J$3:$J$302,162),1)*100000,0),"")</f>
        <v/>
      </c>
    </row>
    <row r="167">
      <c r="A167" s="18">
        <f>IF($I167="","",INDEX('Batches'!$D$1:$D$302,$I167))</f>
        <v/>
      </c>
      <c r="B167" s="16">
        <f>IF($I167="","",INDEX('Batches'!$I$1:$I$302,$I167))</f>
        <v/>
      </c>
      <c r="C167" s="8">
        <f>IF($I167="","",INDEX('Batches'!$A$1:$A$302,$I167))</f>
        <v/>
      </c>
      <c r="D167" s="8">
        <f>IF($I167="","",INDEX('Batches'!$B$1:$B$302,$I167))</f>
        <v/>
      </c>
      <c r="E167" s="8">
        <f>IF($I167="","",INDEX('Batches'!$C$1:$C$302,$I167))</f>
        <v/>
      </c>
      <c r="F167" s="8">
        <f>IF($I167="","",INDEX('Batches'!$G$1:$G$302,$I167))</f>
        <v/>
      </c>
      <c r="G167" s="16">
        <f>IF($I167="","",INDEX('Batches'!$H$1:$H$302,$I167))</f>
        <v/>
      </c>
      <c r="I167" s="16">
        <f>IFERROR(ROUND(MOD(SMALL('Batches'!$J$3:$J$302,163),1)*100000,0),"")</f>
        <v/>
      </c>
    </row>
    <row r="168">
      <c r="A168" s="18">
        <f>IF($I168="","",INDEX('Batches'!$D$1:$D$302,$I168))</f>
        <v/>
      </c>
      <c r="B168" s="16">
        <f>IF($I168="","",INDEX('Batches'!$I$1:$I$302,$I168))</f>
        <v/>
      </c>
      <c r="C168" s="8">
        <f>IF($I168="","",INDEX('Batches'!$A$1:$A$302,$I168))</f>
        <v/>
      </c>
      <c r="D168" s="8">
        <f>IF($I168="","",INDEX('Batches'!$B$1:$B$302,$I168))</f>
        <v/>
      </c>
      <c r="E168" s="8">
        <f>IF($I168="","",INDEX('Batches'!$C$1:$C$302,$I168))</f>
        <v/>
      </c>
      <c r="F168" s="8">
        <f>IF($I168="","",INDEX('Batches'!$G$1:$G$302,$I168))</f>
        <v/>
      </c>
      <c r="G168" s="16">
        <f>IF($I168="","",INDEX('Batches'!$H$1:$H$302,$I168))</f>
        <v/>
      </c>
      <c r="I168" s="16">
        <f>IFERROR(ROUND(MOD(SMALL('Batches'!$J$3:$J$302,164),1)*100000,0),"")</f>
        <v/>
      </c>
    </row>
    <row r="169">
      <c r="A169" s="18">
        <f>IF($I169="","",INDEX('Batches'!$D$1:$D$302,$I169))</f>
        <v/>
      </c>
      <c r="B169" s="16">
        <f>IF($I169="","",INDEX('Batches'!$I$1:$I$302,$I169))</f>
        <v/>
      </c>
      <c r="C169" s="8">
        <f>IF($I169="","",INDEX('Batches'!$A$1:$A$302,$I169))</f>
        <v/>
      </c>
      <c r="D169" s="8">
        <f>IF($I169="","",INDEX('Batches'!$B$1:$B$302,$I169))</f>
        <v/>
      </c>
      <c r="E169" s="8">
        <f>IF($I169="","",INDEX('Batches'!$C$1:$C$302,$I169))</f>
        <v/>
      </c>
      <c r="F169" s="8">
        <f>IF($I169="","",INDEX('Batches'!$G$1:$G$302,$I169))</f>
        <v/>
      </c>
      <c r="G169" s="16">
        <f>IF($I169="","",INDEX('Batches'!$H$1:$H$302,$I169))</f>
        <v/>
      </c>
      <c r="I169" s="16">
        <f>IFERROR(ROUND(MOD(SMALL('Batches'!$J$3:$J$302,165),1)*100000,0),"")</f>
        <v/>
      </c>
    </row>
    <row r="170">
      <c r="A170" s="18">
        <f>IF($I170="","",INDEX('Batches'!$D$1:$D$302,$I170))</f>
        <v/>
      </c>
      <c r="B170" s="16">
        <f>IF($I170="","",INDEX('Batches'!$I$1:$I$302,$I170))</f>
        <v/>
      </c>
      <c r="C170" s="8">
        <f>IF($I170="","",INDEX('Batches'!$A$1:$A$302,$I170))</f>
        <v/>
      </c>
      <c r="D170" s="8">
        <f>IF($I170="","",INDEX('Batches'!$B$1:$B$302,$I170))</f>
        <v/>
      </c>
      <c r="E170" s="8">
        <f>IF($I170="","",INDEX('Batches'!$C$1:$C$302,$I170))</f>
        <v/>
      </c>
      <c r="F170" s="8">
        <f>IF($I170="","",INDEX('Batches'!$G$1:$G$302,$I170))</f>
        <v/>
      </c>
      <c r="G170" s="16">
        <f>IF($I170="","",INDEX('Batches'!$H$1:$H$302,$I170))</f>
        <v/>
      </c>
      <c r="I170" s="16">
        <f>IFERROR(ROUND(MOD(SMALL('Batches'!$J$3:$J$302,166),1)*100000,0),"")</f>
        <v/>
      </c>
    </row>
    <row r="171">
      <c r="A171" s="18">
        <f>IF($I171="","",INDEX('Batches'!$D$1:$D$302,$I171))</f>
        <v/>
      </c>
      <c r="B171" s="16">
        <f>IF($I171="","",INDEX('Batches'!$I$1:$I$302,$I171))</f>
        <v/>
      </c>
      <c r="C171" s="8">
        <f>IF($I171="","",INDEX('Batches'!$A$1:$A$302,$I171))</f>
        <v/>
      </c>
      <c r="D171" s="8">
        <f>IF($I171="","",INDEX('Batches'!$B$1:$B$302,$I171))</f>
        <v/>
      </c>
      <c r="E171" s="8">
        <f>IF($I171="","",INDEX('Batches'!$C$1:$C$302,$I171))</f>
        <v/>
      </c>
      <c r="F171" s="8">
        <f>IF($I171="","",INDEX('Batches'!$G$1:$G$302,$I171))</f>
        <v/>
      </c>
      <c r="G171" s="16">
        <f>IF($I171="","",INDEX('Batches'!$H$1:$H$302,$I171))</f>
        <v/>
      </c>
      <c r="I171" s="16">
        <f>IFERROR(ROUND(MOD(SMALL('Batches'!$J$3:$J$302,167),1)*100000,0),"")</f>
        <v/>
      </c>
    </row>
    <row r="172">
      <c r="A172" s="18">
        <f>IF($I172="","",INDEX('Batches'!$D$1:$D$302,$I172))</f>
        <v/>
      </c>
      <c r="B172" s="16">
        <f>IF($I172="","",INDEX('Batches'!$I$1:$I$302,$I172))</f>
        <v/>
      </c>
      <c r="C172" s="8">
        <f>IF($I172="","",INDEX('Batches'!$A$1:$A$302,$I172))</f>
        <v/>
      </c>
      <c r="D172" s="8">
        <f>IF($I172="","",INDEX('Batches'!$B$1:$B$302,$I172))</f>
        <v/>
      </c>
      <c r="E172" s="8">
        <f>IF($I172="","",INDEX('Batches'!$C$1:$C$302,$I172))</f>
        <v/>
      </c>
      <c r="F172" s="8">
        <f>IF($I172="","",INDEX('Batches'!$G$1:$G$302,$I172))</f>
        <v/>
      </c>
      <c r="G172" s="16">
        <f>IF($I172="","",INDEX('Batches'!$H$1:$H$302,$I172))</f>
        <v/>
      </c>
      <c r="I172" s="16">
        <f>IFERROR(ROUND(MOD(SMALL('Batches'!$J$3:$J$302,168),1)*100000,0),"")</f>
        <v/>
      </c>
    </row>
    <row r="173">
      <c r="A173" s="18">
        <f>IF($I173="","",INDEX('Batches'!$D$1:$D$302,$I173))</f>
        <v/>
      </c>
      <c r="B173" s="16">
        <f>IF($I173="","",INDEX('Batches'!$I$1:$I$302,$I173))</f>
        <v/>
      </c>
      <c r="C173" s="8">
        <f>IF($I173="","",INDEX('Batches'!$A$1:$A$302,$I173))</f>
        <v/>
      </c>
      <c r="D173" s="8">
        <f>IF($I173="","",INDEX('Batches'!$B$1:$B$302,$I173))</f>
        <v/>
      </c>
      <c r="E173" s="8">
        <f>IF($I173="","",INDEX('Batches'!$C$1:$C$302,$I173))</f>
        <v/>
      </c>
      <c r="F173" s="8">
        <f>IF($I173="","",INDEX('Batches'!$G$1:$G$302,$I173))</f>
        <v/>
      </c>
      <c r="G173" s="16">
        <f>IF($I173="","",INDEX('Batches'!$H$1:$H$302,$I173))</f>
        <v/>
      </c>
      <c r="I173" s="16">
        <f>IFERROR(ROUND(MOD(SMALL('Batches'!$J$3:$J$302,169),1)*100000,0),"")</f>
        <v/>
      </c>
    </row>
    <row r="174">
      <c r="A174" s="18">
        <f>IF($I174="","",INDEX('Batches'!$D$1:$D$302,$I174))</f>
        <v/>
      </c>
      <c r="B174" s="16">
        <f>IF($I174="","",INDEX('Batches'!$I$1:$I$302,$I174))</f>
        <v/>
      </c>
      <c r="C174" s="8">
        <f>IF($I174="","",INDEX('Batches'!$A$1:$A$302,$I174))</f>
        <v/>
      </c>
      <c r="D174" s="8">
        <f>IF($I174="","",INDEX('Batches'!$B$1:$B$302,$I174))</f>
        <v/>
      </c>
      <c r="E174" s="8">
        <f>IF($I174="","",INDEX('Batches'!$C$1:$C$302,$I174))</f>
        <v/>
      </c>
      <c r="F174" s="8">
        <f>IF($I174="","",INDEX('Batches'!$G$1:$G$302,$I174))</f>
        <v/>
      </c>
      <c r="G174" s="16">
        <f>IF($I174="","",INDEX('Batches'!$H$1:$H$302,$I174))</f>
        <v/>
      </c>
      <c r="I174" s="16">
        <f>IFERROR(ROUND(MOD(SMALL('Batches'!$J$3:$J$302,170),1)*100000,0),"")</f>
        <v/>
      </c>
    </row>
    <row r="175">
      <c r="A175" s="18">
        <f>IF($I175="","",INDEX('Batches'!$D$1:$D$302,$I175))</f>
        <v/>
      </c>
      <c r="B175" s="16">
        <f>IF($I175="","",INDEX('Batches'!$I$1:$I$302,$I175))</f>
        <v/>
      </c>
      <c r="C175" s="8">
        <f>IF($I175="","",INDEX('Batches'!$A$1:$A$302,$I175))</f>
        <v/>
      </c>
      <c r="D175" s="8">
        <f>IF($I175="","",INDEX('Batches'!$B$1:$B$302,$I175))</f>
        <v/>
      </c>
      <c r="E175" s="8">
        <f>IF($I175="","",INDEX('Batches'!$C$1:$C$302,$I175))</f>
        <v/>
      </c>
      <c r="F175" s="8">
        <f>IF($I175="","",INDEX('Batches'!$G$1:$G$302,$I175))</f>
        <v/>
      </c>
      <c r="G175" s="16">
        <f>IF($I175="","",INDEX('Batches'!$H$1:$H$302,$I175))</f>
        <v/>
      </c>
      <c r="I175" s="16">
        <f>IFERROR(ROUND(MOD(SMALL('Batches'!$J$3:$J$302,171),1)*100000,0),"")</f>
        <v/>
      </c>
    </row>
    <row r="176">
      <c r="A176" s="18">
        <f>IF($I176="","",INDEX('Batches'!$D$1:$D$302,$I176))</f>
        <v/>
      </c>
      <c r="B176" s="16">
        <f>IF($I176="","",INDEX('Batches'!$I$1:$I$302,$I176))</f>
        <v/>
      </c>
      <c r="C176" s="8">
        <f>IF($I176="","",INDEX('Batches'!$A$1:$A$302,$I176))</f>
        <v/>
      </c>
      <c r="D176" s="8">
        <f>IF($I176="","",INDEX('Batches'!$B$1:$B$302,$I176))</f>
        <v/>
      </c>
      <c r="E176" s="8">
        <f>IF($I176="","",INDEX('Batches'!$C$1:$C$302,$I176))</f>
        <v/>
      </c>
      <c r="F176" s="8">
        <f>IF($I176="","",INDEX('Batches'!$G$1:$G$302,$I176))</f>
        <v/>
      </c>
      <c r="G176" s="16">
        <f>IF($I176="","",INDEX('Batches'!$H$1:$H$302,$I176))</f>
        <v/>
      </c>
      <c r="I176" s="16">
        <f>IFERROR(ROUND(MOD(SMALL('Batches'!$J$3:$J$302,172),1)*100000,0),"")</f>
        <v/>
      </c>
    </row>
    <row r="177">
      <c r="A177" s="18">
        <f>IF($I177="","",INDEX('Batches'!$D$1:$D$302,$I177))</f>
        <v/>
      </c>
      <c r="B177" s="16">
        <f>IF($I177="","",INDEX('Batches'!$I$1:$I$302,$I177))</f>
        <v/>
      </c>
      <c r="C177" s="8">
        <f>IF($I177="","",INDEX('Batches'!$A$1:$A$302,$I177))</f>
        <v/>
      </c>
      <c r="D177" s="8">
        <f>IF($I177="","",INDEX('Batches'!$B$1:$B$302,$I177))</f>
        <v/>
      </c>
      <c r="E177" s="8">
        <f>IF($I177="","",INDEX('Batches'!$C$1:$C$302,$I177))</f>
        <v/>
      </c>
      <c r="F177" s="8">
        <f>IF($I177="","",INDEX('Batches'!$G$1:$G$302,$I177))</f>
        <v/>
      </c>
      <c r="G177" s="16">
        <f>IF($I177="","",INDEX('Batches'!$H$1:$H$302,$I177))</f>
        <v/>
      </c>
      <c r="I177" s="16">
        <f>IFERROR(ROUND(MOD(SMALL('Batches'!$J$3:$J$302,173),1)*100000,0),"")</f>
        <v/>
      </c>
    </row>
    <row r="178">
      <c r="A178" s="18">
        <f>IF($I178="","",INDEX('Batches'!$D$1:$D$302,$I178))</f>
        <v/>
      </c>
      <c r="B178" s="16">
        <f>IF($I178="","",INDEX('Batches'!$I$1:$I$302,$I178))</f>
        <v/>
      </c>
      <c r="C178" s="8">
        <f>IF($I178="","",INDEX('Batches'!$A$1:$A$302,$I178))</f>
        <v/>
      </c>
      <c r="D178" s="8">
        <f>IF($I178="","",INDEX('Batches'!$B$1:$B$302,$I178))</f>
        <v/>
      </c>
      <c r="E178" s="8">
        <f>IF($I178="","",INDEX('Batches'!$C$1:$C$302,$I178))</f>
        <v/>
      </c>
      <c r="F178" s="8">
        <f>IF($I178="","",INDEX('Batches'!$G$1:$G$302,$I178))</f>
        <v/>
      </c>
      <c r="G178" s="16">
        <f>IF($I178="","",INDEX('Batches'!$H$1:$H$302,$I178))</f>
        <v/>
      </c>
      <c r="I178" s="16">
        <f>IFERROR(ROUND(MOD(SMALL('Batches'!$J$3:$J$302,174),1)*100000,0),"")</f>
        <v/>
      </c>
    </row>
    <row r="179">
      <c r="A179" s="18">
        <f>IF($I179="","",INDEX('Batches'!$D$1:$D$302,$I179))</f>
        <v/>
      </c>
      <c r="B179" s="16">
        <f>IF($I179="","",INDEX('Batches'!$I$1:$I$302,$I179))</f>
        <v/>
      </c>
      <c r="C179" s="8">
        <f>IF($I179="","",INDEX('Batches'!$A$1:$A$302,$I179))</f>
        <v/>
      </c>
      <c r="D179" s="8">
        <f>IF($I179="","",INDEX('Batches'!$B$1:$B$302,$I179))</f>
        <v/>
      </c>
      <c r="E179" s="8">
        <f>IF($I179="","",INDEX('Batches'!$C$1:$C$302,$I179))</f>
        <v/>
      </c>
      <c r="F179" s="8">
        <f>IF($I179="","",INDEX('Batches'!$G$1:$G$302,$I179))</f>
        <v/>
      </c>
      <c r="G179" s="16">
        <f>IF($I179="","",INDEX('Batches'!$H$1:$H$302,$I179))</f>
        <v/>
      </c>
      <c r="I179" s="16">
        <f>IFERROR(ROUND(MOD(SMALL('Batches'!$J$3:$J$302,175),1)*100000,0),"")</f>
        <v/>
      </c>
    </row>
    <row r="180">
      <c r="A180" s="18">
        <f>IF($I180="","",INDEX('Batches'!$D$1:$D$302,$I180))</f>
        <v/>
      </c>
      <c r="B180" s="16">
        <f>IF($I180="","",INDEX('Batches'!$I$1:$I$302,$I180))</f>
        <v/>
      </c>
      <c r="C180" s="8">
        <f>IF($I180="","",INDEX('Batches'!$A$1:$A$302,$I180))</f>
        <v/>
      </c>
      <c r="D180" s="8">
        <f>IF($I180="","",INDEX('Batches'!$B$1:$B$302,$I180))</f>
        <v/>
      </c>
      <c r="E180" s="8">
        <f>IF($I180="","",INDEX('Batches'!$C$1:$C$302,$I180))</f>
        <v/>
      </c>
      <c r="F180" s="8">
        <f>IF($I180="","",INDEX('Batches'!$G$1:$G$302,$I180))</f>
        <v/>
      </c>
      <c r="G180" s="16">
        <f>IF($I180="","",INDEX('Batches'!$H$1:$H$302,$I180))</f>
        <v/>
      </c>
      <c r="I180" s="16">
        <f>IFERROR(ROUND(MOD(SMALL('Batches'!$J$3:$J$302,176),1)*100000,0),"")</f>
        <v/>
      </c>
    </row>
    <row r="181">
      <c r="A181" s="18">
        <f>IF($I181="","",INDEX('Batches'!$D$1:$D$302,$I181))</f>
        <v/>
      </c>
      <c r="B181" s="16">
        <f>IF($I181="","",INDEX('Batches'!$I$1:$I$302,$I181))</f>
        <v/>
      </c>
      <c r="C181" s="8">
        <f>IF($I181="","",INDEX('Batches'!$A$1:$A$302,$I181))</f>
        <v/>
      </c>
      <c r="D181" s="8">
        <f>IF($I181="","",INDEX('Batches'!$B$1:$B$302,$I181))</f>
        <v/>
      </c>
      <c r="E181" s="8">
        <f>IF($I181="","",INDEX('Batches'!$C$1:$C$302,$I181))</f>
        <v/>
      </c>
      <c r="F181" s="8">
        <f>IF($I181="","",INDEX('Batches'!$G$1:$G$302,$I181))</f>
        <v/>
      </c>
      <c r="G181" s="16">
        <f>IF($I181="","",INDEX('Batches'!$H$1:$H$302,$I181))</f>
        <v/>
      </c>
      <c r="I181" s="16">
        <f>IFERROR(ROUND(MOD(SMALL('Batches'!$J$3:$J$302,177),1)*100000,0),"")</f>
        <v/>
      </c>
    </row>
    <row r="182">
      <c r="A182" s="18">
        <f>IF($I182="","",INDEX('Batches'!$D$1:$D$302,$I182))</f>
        <v/>
      </c>
      <c r="B182" s="16">
        <f>IF($I182="","",INDEX('Batches'!$I$1:$I$302,$I182))</f>
        <v/>
      </c>
      <c r="C182" s="8">
        <f>IF($I182="","",INDEX('Batches'!$A$1:$A$302,$I182))</f>
        <v/>
      </c>
      <c r="D182" s="8">
        <f>IF($I182="","",INDEX('Batches'!$B$1:$B$302,$I182))</f>
        <v/>
      </c>
      <c r="E182" s="8">
        <f>IF($I182="","",INDEX('Batches'!$C$1:$C$302,$I182))</f>
        <v/>
      </c>
      <c r="F182" s="8">
        <f>IF($I182="","",INDEX('Batches'!$G$1:$G$302,$I182))</f>
        <v/>
      </c>
      <c r="G182" s="16">
        <f>IF($I182="","",INDEX('Batches'!$H$1:$H$302,$I182))</f>
        <v/>
      </c>
      <c r="I182" s="16">
        <f>IFERROR(ROUND(MOD(SMALL('Batches'!$J$3:$J$302,178),1)*100000,0),"")</f>
        <v/>
      </c>
    </row>
    <row r="183">
      <c r="A183" s="18">
        <f>IF($I183="","",INDEX('Batches'!$D$1:$D$302,$I183))</f>
        <v/>
      </c>
      <c r="B183" s="16">
        <f>IF($I183="","",INDEX('Batches'!$I$1:$I$302,$I183))</f>
        <v/>
      </c>
      <c r="C183" s="8">
        <f>IF($I183="","",INDEX('Batches'!$A$1:$A$302,$I183))</f>
        <v/>
      </c>
      <c r="D183" s="8">
        <f>IF($I183="","",INDEX('Batches'!$B$1:$B$302,$I183))</f>
        <v/>
      </c>
      <c r="E183" s="8">
        <f>IF($I183="","",INDEX('Batches'!$C$1:$C$302,$I183))</f>
        <v/>
      </c>
      <c r="F183" s="8">
        <f>IF($I183="","",INDEX('Batches'!$G$1:$G$302,$I183))</f>
        <v/>
      </c>
      <c r="G183" s="16">
        <f>IF($I183="","",INDEX('Batches'!$H$1:$H$302,$I183))</f>
        <v/>
      </c>
      <c r="I183" s="16">
        <f>IFERROR(ROUND(MOD(SMALL('Batches'!$J$3:$J$302,179),1)*100000,0),"")</f>
        <v/>
      </c>
    </row>
    <row r="184">
      <c r="A184" s="18">
        <f>IF($I184="","",INDEX('Batches'!$D$1:$D$302,$I184))</f>
        <v/>
      </c>
      <c r="B184" s="16">
        <f>IF($I184="","",INDEX('Batches'!$I$1:$I$302,$I184))</f>
        <v/>
      </c>
      <c r="C184" s="8">
        <f>IF($I184="","",INDEX('Batches'!$A$1:$A$302,$I184))</f>
        <v/>
      </c>
      <c r="D184" s="8">
        <f>IF($I184="","",INDEX('Batches'!$B$1:$B$302,$I184))</f>
        <v/>
      </c>
      <c r="E184" s="8">
        <f>IF($I184="","",INDEX('Batches'!$C$1:$C$302,$I184))</f>
        <v/>
      </c>
      <c r="F184" s="8">
        <f>IF($I184="","",INDEX('Batches'!$G$1:$G$302,$I184))</f>
        <v/>
      </c>
      <c r="G184" s="16">
        <f>IF($I184="","",INDEX('Batches'!$H$1:$H$302,$I184))</f>
        <v/>
      </c>
      <c r="I184" s="16">
        <f>IFERROR(ROUND(MOD(SMALL('Batches'!$J$3:$J$302,180),1)*100000,0),"")</f>
        <v/>
      </c>
    </row>
    <row r="185">
      <c r="A185" s="18">
        <f>IF($I185="","",INDEX('Batches'!$D$1:$D$302,$I185))</f>
        <v/>
      </c>
      <c r="B185" s="16">
        <f>IF($I185="","",INDEX('Batches'!$I$1:$I$302,$I185))</f>
        <v/>
      </c>
      <c r="C185" s="8">
        <f>IF($I185="","",INDEX('Batches'!$A$1:$A$302,$I185))</f>
        <v/>
      </c>
      <c r="D185" s="8">
        <f>IF($I185="","",INDEX('Batches'!$B$1:$B$302,$I185))</f>
        <v/>
      </c>
      <c r="E185" s="8">
        <f>IF($I185="","",INDEX('Batches'!$C$1:$C$302,$I185))</f>
        <v/>
      </c>
      <c r="F185" s="8">
        <f>IF($I185="","",INDEX('Batches'!$G$1:$G$302,$I185))</f>
        <v/>
      </c>
      <c r="G185" s="16">
        <f>IF($I185="","",INDEX('Batches'!$H$1:$H$302,$I185))</f>
        <v/>
      </c>
      <c r="I185" s="16">
        <f>IFERROR(ROUND(MOD(SMALL('Batches'!$J$3:$J$302,181),1)*100000,0),"")</f>
        <v/>
      </c>
    </row>
    <row r="186">
      <c r="A186" s="18">
        <f>IF($I186="","",INDEX('Batches'!$D$1:$D$302,$I186))</f>
        <v/>
      </c>
      <c r="B186" s="16">
        <f>IF($I186="","",INDEX('Batches'!$I$1:$I$302,$I186))</f>
        <v/>
      </c>
      <c r="C186" s="8">
        <f>IF($I186="","",INDEX('Batches'!$A$1:$A$302,$I186))</f>
        <v/>
      </c>
      <c r="D186" s="8">
        <f>IF($I186="","",INDEX('Batches'!$B$1:$B$302,$I186))</f>
        <v/>
      </c>
      <c r="E186" s="8">
        <f>IF($I186="","",INDEX('Batches'!$C$1:$C$302,$I186))</f>
        <v/>
      </c>
      <c r="F186" s="8">
        <f>IF($I186="","",INDEX('Batches'!$G$1:$G$302,$I186))</f>
        <v/>
      </c>
      <c r="G186" s="16">
        <f>IF($I186="","",INDEX('Batches'!$H$1:$H$302,$I186))</f>
        <v/>
      </c>
      <c r="I186" s="16">
        <f>IFERROR(ROUND(MOD(SMALL('Batches'!$J$3:$J$302,182),1)*100000,0),"")</f>
        <v/>
      </c>
    </row>
    <row r="187">
      <c r="A187" s="18">
        <f>IF($I187="","",INDEX('Batches'!$D$1:$D$302,$I187))</f>
        <v/>
      </c>
      <c r="B187" s="16">
        <f>IF($I187="","",INDEX('Batches'!$I$1:$I$302,$I187))</f>
        <v/>
      </c>
      <c r="C187" s="8">
        <f>IF($I187="","",INDEX('Batches'!$A$1:$A$302,$I187))</f>
        <v/>
      </c>
      <c r="D187" s="8">
        <f>IF($I187="","",INDEX('Batches'!$B$1:$B$302,$I187))</f>
        <v/>
      </c>
      <c r="E187" s="8">
        <f>IF($I187="","",INDEX('Batches'!$C$1:$C$302,$I187))</f>
        <v/>
      </c>
      <c r="F187" s="8">
        <f>IF($I187="","",INDEX('Batches'!$G$1:$G$302,$I187))</f>
        <v/>
      </c>
      <c r="G187" s="16">
        <f>IF($I187="","",INDEX('Batches'!$H$1:$H$302,$I187))</f>
        <v/>
      </c>
      <c r="I187" s="16">
        <f>IFERROR(ROUND(MOD(SMALL('Batches'!$J$3:$J$302,183),1)*100000,0),"")</f>
        <v/>
      </c>
    </row>
    <row r="188">
      <c r="A188" s="18">
        <f>IF($I188="","",INDEX('Batches'!$D$1:$D$302,$I188))</f>
        <v/>
      </c>
      <c r="B188" s="16">
        <f>IF($I188="","",INDEX('Batches'!$I$1:$I$302,$I188))</f>
        <v/>
      </c>
      <c r="C188" s="8">
        <f>IF($I188="","",INDEX('Batches'!$A$1:$A$302,$I188))</f>
        <v/>
      </c>
      <c r="D188" s="8">
        <f>IF($I188="","",INDEX('Batches'!$B$1:$B$302,$I188))</f>
        <v/>
      </c>
      <c r="E188" s="8">
        <f>IF($I188="","",INDEX('Batches'!$C$1:$C$302,$I188))</f>
        <v/>
      </c>
      <c r="F188" s="8">
        <f>IF($I188="","",INDEX('Batches'!$G$1:$G$302,$I188))</f>
        <v/>
      </c>
      <c r="G188" s="16">
        <f>IF($I188="","",INDEX('Batches'!$H$1:$H$302,$I188))</f>
        <v/>
      </c>
      <c r="I188" s="16">
        <f>IFERROR(ROUND(MOD(SMALL('Batches'!$J$3:$J$302,184),1)*100000,0),"")</f>
        <v/>
      </c>
    </row>
    <row r="189">
      <c r="A189" s="18">
        <f>IF($I189="","",INDEX('Batches'!$D$1:$D$302,$I189))</f>
        <v/>
      </c>
      <c r="B189" s="16">
        <f>IF($I189="","",INDEX('Batches'!$I$1:$I$302,$I189))</f>
        <v/>
      </c>
      <c r="C189" s="8">
        <f>IF($I189="","",INDEX('Batches'!$A$1:$A$302,$I189))</f>
        <v/>
      </c>
      <c r="D189" s="8">
        <f>IF($I189="","",INDEX('Batches'!$B$1:$B$302,$I189))</f>
        <v/>
      </c>
      <c r="E189" s="8">
        <f>IF($I189="","",INDEX('Batches'!$C$1:$C$302,$I189))</f>
        <v/>
      </c>
      <c r="F189" s="8">
        <f>IF($I189="","",INDEX('Batches'!$G$1:$G$302,$I189))</f>
        <v/>
      </c>
      <c r="G189" s="16">
        <f>IF($I189="","",INDEX('Batches'!$H$1:$H$302,$I189))</f>
        <v/>
      </c>
      <c r="I189" s="16">
        <f>IFERROR(ROUND(MOD(SMALL('Batches'!$J$3:$J$302,185),1)*100000,0),"")</f>
        <v/>
      </c>
    </row>
    <row r="190">
      <c r="A190" s="18">
        <f>IF($I190="","",INDEX('Batches'!$D$1:$D$302,$I190))</f>
        <v/>
      </c>
      <c r="B190" s="16">
        <f>IF($I190="","",INDEX('Batches'!$I$1:$I$302,$I190))</f>
        <v/>
      </c>
      <c r="C190" s="8">
        <f>IF($I190="","",INDEX('Batches'!$A$1:$A$302,$I190))</f>
        <v/>
      </c>
      <c r="D190" s="8">
        <f>IF($I190="","",INDEX('Batches'!$B$1:$B$302,$I190))</f>
        <v/>
      </c>
      <c r="E190" s="8">
        <f>IF($I190="","",INDEX('Batches'!$C$1:$C$302,$I190))</f>
        <v/>
      </c>
      <c r="F190" s="8">
        <f>IF($I190="","",INDEX('Batches'!$G$1:$G$302,$I190))</f>
        <v/>
      </c>
      <c r="G190" s="16">
        <f>IF($I190="","",INDEX('Batches'!$H$1:$H$302,$I190))</f>
        <v/>
      </c>
      <c r="I190" s="16">
        <f>IFERROR(ROUND(MOD(SMALL('Batches'!$J$3:$J$302,186),1)*100000,0),"")</f>
        <v/>
      </c>
    </row>
    <row r="191">
      <c r="A191" s="18">
        <f>IF($I191="","",INDEX('Batches'!$D$1:$D$302,$I191))</f>
        <v/>
      </c>
      <c r="B191" s="16">
        <f>IF($I191="","",INDEX('Batches'!$I$1:$I$302,$I191))</f>
        <v/>
      </c>
      <c r="C191" s="8">
        <f>IF($I191="","",INDEX('Batches'!$A$1:$A$302,$I191))</f>
        <v/>
      </c>
      <c r="D191" s="8">
        <f>IF($I191="","",INDEX('Batches'!$B$1:$B$302,$I191))</f>
        <v/>
      </c>
      <c r="E191" s="8">
        <f>IF($I191="","",INDEX('Batches'!$C$1:$C$302,$I191))</f>
        <v/>
      </c>
      <c r="F191" s="8">
        <f>IF($I191="","",INDEX('Batches'!$G$1:$G$302,$I191))</f>
        <v/>
      </c>
      <c r="G191" s="16">
        <f>IF($I191="","",INDEX('Batches'!$H$1:$H$302,$I191))</f>
        <v/>
      </c>
      <c r="I191" s="16">
        <f>IFERROR(ROUND(MOD(SMALL('Batches'!$J$3:$J$302,187),1)*100000,0),"")</f>
        <v/>
      </c>
    </row>
    <row r="192">
      <c r="A192" s="18">
        <f>IF($I192="","",INDEX('Batches'!$D$1:$D$302,$I192))</f>
        <v/>
      </c>
      <c r="B192" s="16">
        <f>IF($I192="","",INDEX('Batches'!$I$1:$I$302,$I192))</f>
        <v/>
      </c>
      <c r="C192" s="8">
        <f>IF($I192="","",INDEX('Batches'!$A$1:$A$302,$I192))</f>
        <v/>
      </c>
      <c r="D192" s="8">
        <f>IF($I192="","",INDEX('Batches'!$B$1:$B$302,$I192))</f>
        <v/>
      </c>
      <c r="E192" s="8">
        <f>IF($I192="","",INDEX('Batches'!$C$1:$C$302,$I192))</f>
        <v/>
      </c>
      <c r="F192" s="8">
        <f>IF($I192="","",INDEX('Batches'!$G$1:$G$302,$I192))</f>
        <v/>
      </c>
      <c r="G192" s="16">
        <f>IF($I192="","",INDEX('Batches'!$H$1:$H$302,$I192))</f>
        <v/>
      </c>
      <c r="I192" s="16">
        <f>IFERROR(ROUND(MOD(SMALL('Batches'!$J$3:$J$302,188),1)*100000,0),"")</f>
        <v/>
      </c>
    </row>
    <row r="193">
      <c r="A193" s="18">
        <f>IF($I193="","",INDEX('Batches'!$D$1:$D$302,$I193))</f>
        <v/>
      </c>
      <c r="B193" s="16">
        <f>IF($I193="","",INDEX('Batches'!$I$1:$I$302,$I193))</f>
        <v/>
      </c>
      <c r="C193" s="8">
        <f>IF($I193="","",INDEX('Batches'!$A$1:$A$302,$I193))</f>
        <v/>
      </c>
      <c r="D193" s="8">
        <f>IF($I193="","",INDEX('Batches'!$B$1:$B$302,$I193))</f>
        <v/>
      </c>
      <c r="E193" s="8">
        <f>IF($I193="","",INDEX('Batches'!$C$1:$C$302,$I193))</f>
        <v/>
      </c>
      <c r="F193" s="8">
        <f>IF($I193="","",INDEX('Batches'!$G$1:$G$302,$I193))</f>
        <v/>
      </c>
      <c r="G193" s="16">
        <f>IF($I193="","",INDEX('Batches'!$H$1:$H$302,$I193))</f>
        <v/>
      </c>
      <c r="I193" s="16">
        <f>IFERROR(ROUND(MOD(SMALL('Batches'!$J$3:$J$302,189),1)*100000,0),"")</f>
        <v/>
      </c>
    </row>
    <row r="194">
      <c r="A194" s="18">
        <f>IF($I194="","",INDEX('Batches'!$D$1:$D$302,$I194))</f>
        <v/>
      </c>
      <c r="B194" s="16">
        <f>IF($I194="","",INDEX('Batches'!$I$1:$I$302,$I194))</f>
        <v/>
      </c>
      <c r="C194" s="8">
        <f>IF($I194="","",INDEX('Batches'!$A$1:$A$302,$I194))</f>
        <v/>
      </c>
      <c r="D194" s="8">
        <f>IF($I194="","",INDEX('Batches'!$B$1:$B$302,$I194))</f>
        <v/>
      </c>
      <c r="E194" s="8">
        <f>IF($I194="","",INDEX('Batches'!$C$1:$C$302,$I194))</f>
        <v/>
      </c>
      <c r="F194" s="8">
        <f>IF($I194="","",INDEX('Batches'!$G$1:$G$302,$I194))</f>
        <v/>
      </c>
      <c r="G194" s="16">
        <f>IF($I194="","",INDEX('Batches'!$H$1:$H$302,$I194))</f>
        <v/>
      </c>
      <c r="I194" s="16">
        <f>IFERROR(ROUND(MOD(SMALL('Batches'!$J$3:$J$302,190),1)*100000,0),"")</f>
        <v/>
      </c>
    </row>
    <row r="195">
      <c r="A195" s="18">
        <f>IF($I195="","",INDEX('Batches'!$D$1:$D$302,$I195))</f>
        <v/>
      </c>
      <c r="B195" s="16">
        <f>IF($I195="","",INDEX('Batches'!$I$1:$I$302,$I195))</f>
        <v/>
      </c>
      <c r="C195" s="8">
        <f>IF($I195="","",INDEX('Batches'!$A$1:$A$302,$I195))</f>
        <v/>
      </c>
      <c r="D195" s="8">
        <f>IF($I195="","",INDEX('Batches'!$B$1:$B$302,$I195))</f>
        <v/>
      </c>
      <c r="E195" s="8">
        <f>IF($I195="","",INDEX('Batches'!$C$1:$C$302,$I195))</f>
        <v/>
      </c>
      <c r="F195" s="8">
        <f>IF($I195="","",INDEX('Batches'!$G$1:$G$302,$I195))</f>
        <v/>
      </c>
      <c r="G195" s="16">
        <f>IF($I195="","",INDEX('Batches'!$H$1:$H$302,$I195))</f>
        <v/>
      </c>
      <c r="I195" s="16">
        <f>IFERROR(ROUND(MOD(SMALL('Batches'!$J$3:$J$302,191),1)*100000,0),"")</f>
        <v/>
      </c>
    </row>
    <row r="196">
      <c r="A196" s="18">
        <f>IF($I196="","",INDEX('Batches'!$D$1:$D$302,$I196))</f>
        <v/>
      </c>
      <c r="B196" s="16">
        <f>IF($I196="","",INDEX('Batches'!$I$1:$I$302,$I196))</f>
        <v/>
      </c>
      <c r="C196" s="8">
        <f>IF($I196="","",INDEX('Batches'!$A$1:$A$302,$I196))</f>
        <v/>
      </c>
      <c r="D196" s="8">
        <f>IF($I196="","",INDEX('Batches'!$B$1:$B$302,$I196))</f>
        <v/>
      </c>
      <c r="E196" s="8">
        <f>IF($I196="","",INDEX('Batches'!$C$1:$C$302,$I196))</f>
        <v/>
      </c>
      <c r="F196" s="8">
        <f>IF($I196="","",INDEX('Batches'!$G$1:$G$302,$I196))</f>
        <v/>
      </c>
      <c r="G196" s="16">
        <f>IF($I196="","",INDEX('Batches'!$H$1:$H$302,$I196))</f>
        <v/>
      </c>
      <c r="I196" s="16">
        <f>IFERROR(ROUND(MOD(SMALL('Batches'!$J$3:$J$302,192),1)*100000,0),"")</f>
        <v/>
      </c>
    </row>
    <row r="197">
      <c r="A197" s="18">
        <f>IF($I197="","",INDEX('Batches'!$D$1:$D$302,$I197))</f>
        <v/>
      </c>
      <c r="B197" s="16">
        <f>IF($I197="","",INDEX('Batches'!$I$1:$I$302,$I197))</f>
        <v/>
      </c>
      <c r="C197" s="8">
        <f>IF($I197="","",INDEX('Batches'!$A$1:$A$302,$I197))</f>
        <v/>
      </c>
      <c r="D197" s="8">
        <f>IF($I197="","",INDEX('Batches'!$B$1:$B$302,$I197))</f>
        <v/>
      </c>
      <c r="E197" s="8">
        <f>IF($I197="","",INDEX('Batches'!$C$1:$C$302,$I197))</f>
        <v/>
      </c>
      <c r="F197" s="8">
        <f>IF($I197="","",INDEX('Batches'!$G$1:$G$302,$I197))</f>
        <v/>
      </c>
      <c r="G197" s="16">
        <f>IF($I197="","",INDEX('Batches'!$H$1:$H$302,$I197))</f>
        <v/>
      </c>
      <c r="I197" s="16">
        <f>IFERROR(ROUND(MOD(SMALL('Batches'!$J$3:$J$302,193),1)*100000,0),"")</f>
        <v/>
      </c>
    </row>
    <row r="198">
      <c r="A198" s="18">
        <f>IF($I198="","",INDEX('Batches'!$D$1:$D$302,$I198))</f>
        <v/>
      </c>
      <c r="B198" s="16">
        <f>IF($I198="","",INDEX('Batches'!$I$1:$I$302,$I198))</f>
        <v/>
      </c>
      <c r="C198" s="8">
        <f>IF($I198="","",INDEX('Batches'!$A$1:$A$302,$I198))</f>
        <v/>
      </c>
      <c r="D198" s="8">
        <f>IF($I198="","",INDEX('Batches'!$B$1:$B$302,$I198))</f>
        <v/>
      </c>
      <c r="E198" s="8">
        <f>IF($I198="","",INDEX('Batches'!$C$1:$C$302,$I198))</f>
        <v/>
      </c>
      <c r="F198" s="8">
        <f>IF($I198="","",INDEX('Batches'!$G$1:$G$302,$I198))</f>
        <v/>
      </c>
      <c r="G198" s="16">
        <f>IF($I198="","",INDEX('Batches'!$H$1:$H$302,$I198))</f>
        <v/>
      </c>
      <c r="I198" s="16">
        <f>IFERROR(ROUND(MOD(SMALL('Batches'!$J$3:$J$302,194),1)*100000,0),"")</f>
        <v/>
      </c>
    </row>
    <row r="199">
      <c r="A199" s="18">
        <f>IF($I199="","",INDEX('Batches'!$D$1:$D$302,$I199))</f>
        <v/>
      </c>
      <c r="B199" s="16">
        <f>IF($I199="","",INDEX('Batches'!$I$1:$I$302,$I199))</f>
        <v/>
      </c>
      <c r="C199" s="8">
        <f>IF($I199="","",INDEX('Batches'!$A$1:$A$302,$I199))</f>
        <v/>
      </c>
      <c r="D199" s="8">
        <f>IF($I199="","",INDEX('Batches'!$B$1:$B$302,$I199))</f>
        <v/>
      </c>
      <c r="E199" s="8">
        <f>IF($I199="","",INDEX('Batches'!$C$1:$C$302,$I199))</f>
        <v/>
      </c>
      <c r="F199" s="8">
        <f>IF($I199="","",INDEX('Batches'!$G$1:$G$302,$I199))</f>
        <v/>
      </c>
      <c r="G199" s="16">
        <f>IF($I199="","",INDEX('Batches'!$H$1:$H$302,$I199))</f>
        <v/>
      </c>
      <c r="I199" s="16">
        <f>IFERROR(ROUND(MOD(SMALL('Batches'!$J$3:$J$302,195),1)*100000,0),"")</f>
        <v/>
      </c>
    </row>
    <row r="200">
      <c r="A200" s="18">
        <f>IF($I200="","",INDEX('Batches'!$D$1:$D$302,$I200))</f>
        <v/>
      </c>
      <c r="B200" s="16">
        <f>IF($I200="","",INDEX('Batches'!$I$1:$I$302,$I200))</f>
        <v/>
      </c>
      <c r="C200" s="8">
        <f>IF($I200="","",INDEX('Batches'!$A$1:$A$302,$I200))</f>
        <v/>
      </c>
      <c r="D200" s="8">
        <f>IF($I200="","",INDEX('Batches'!$B$1:$B$302,$I200))</f>
        <v/>
      </c>
      <c r="E200" s="8">
        <f>IF($I200="","",INDEX('Batches'!$C$1:$C$302,$I200))</f>
        <v/>
      </c>
      <c r="F200" s="8">
        <f>IF($I200="","",INDEX('Batches'!$G$1:$G$302,$I200))</f>
        <v/>
      </c>
      <c r="G200" s="16">
        <f>IF($I200="","",INDEX('Batches'!$H$1:$H$302,$I200))</f>
        <v/>
      </c>
      <c r="I200" s="16">
        <f>IFERROR(ROUND(MOD(SMALL('Batches'!$J$3:$J$302,196),1)*100000,0),"")</f>
        <v/>
      </c>
    </row>
    <row r="201">
      <c r="A201" s="18">
        <f>IF($I201="","",INDEX('Batches'!$D$1:$D$302,$I201))</f>
        <v/>
      </c>
      <c r="B201" s="16">
        <f>IF($I201="","",INDEX('Batches'!$I$1:$I$302,$I201))</f>
        <v/>
      </c>
      <c r="C201" s="8">
        <f>IF($I201="","",INDEX('Batches'!$A$1:$A$302,$I201))</f>
        <v/>
      </c>
      <c r="D201" s="8">
        <f>IF($I201="","",INDEX('Batches'!$B$1:$B$302,$I201))</f>
        <v/>
      </c>
      <c r="E201" s="8">
        <f>IF($I201="","",INDEX('Batches'!$C$1:$C$302,$I201))</f>
        <v/>
      </c>
      <c r="F201" s="8">
        <f>IF($I201="","",INDEX('Batches'!$G$1:$G$302,$I201))</f>
        <v/>
      </c>
      <c r="G201" s="16">
        <f>IF($I201="","",INDEX('Batches'!$H$1:$H$302,$I201))</f>
        <v/>
      </c>
      <c r="I201" s="16">
        <f>IFERROR(ROUND(MOD(SMALL('Batches'!$J$3:$J$302,197),1)*100000,0),"")</f>
        <v/>
      </c>
    </row>
    <row r="202">
      <c r="A202" s="18">
        <f>IF($I202="","",INDEX('Batches'!$D$1:$D$302,$I202))</f>
        <v/>
      </c>
      <c r="B202" s="16">
        <f>IF($I202="","",INDEX('Batches'!$I$1:$I$302,$I202))</f>
        <v/>
      </c>
      <c r="C202" s="8">
        <f>IF($I202="","",INDEX('Batches'!$A$1:$A$302,$I202))</f>
        <v/>
      </c>
      <c r="D202" s="8">
        <f>IF($I202="","",INDEX('Batches'!$B$1:$B$302,$I202))</f>
        <v/>
      </c>
      <c r="E202" s="8">
        <f>IF($I202="","",INDEX('Batches'!$C$1:$C$302,$I202))</f>
        <v/>
      </c>
      <c r="F202" s="8">
        <f>IF($I202="","",INDEX('Batches'!$G$1:$G$302,$I202))</f>
        <v/>
      </c>
      <c r="G202" s="16">
        <f>IF($I202="","",INDEX('Batches'!$H$1:$H$302,$I202))</f>
        <v/>
      </c>
      <c r="I202" s="16">
        <f>IFERROR(ROUND(MOD(SMALL('Batches'!$J$3:$J$302,198),1)*100000,0),"")</f>
        <v/>
      </c>
    </row>
    <row r="203">
      <c r="A203" s="18">
        <f>IF($I203="","",INDEX('Batches'!$D$1:$D$302,$I203))</f>
        <v/>
      </c>
      <c r="B203" s="16">
        <f>IF($I203="","",INDEX('Batches'!$I$1:$I$302,$I203))</f>
        <v/>
      </c>
      <c r="C203" s="8">
        <f>IF($I203="","",INDEX('Batches'!$A$1:$A$302,$I203))</f>
        <v/>
      </c>
      <c r="D203" s="8">
        <f>IF($I203="","",INDEX('Batches'!$B$1:$B$302,$I203))</f>
        <v/>
      </c>
      <c r="E203" s="8">
        <f>IF($I203="","",INDEX('Batches'!$C$1:$C$302,$I203))</f>
        <v/>
      </c>
      <c r="F203" s="8">
        <f>IF($I203="","",INDEX('Batches'!$G$1:$G$302,$I203))</f>
        <v/>
      </c>
      <c r="G203" s="16">
        <f>IF($I203="","",INDEX('Batches'!$H$1:$H$302,$I203))</f>
        <v/>
      </c>
      <c r="I203" s="16">
        <f>IFERROR(ROUND(MOD(SMALL('Batches'!$J$3:$J$302,199),1)*100000,0),"")</f>
        <v/>
      </c>
    </row>
    <row r="204">
      <c r="A204" s="18">
        <f>IF($I204="","",INDEX('Batches'!$D$1:$D$302,$I204))</f>
        <v/>
      </c>
      <c r="B204" s="16">
        <f>IF($I204="","",INDEX('Batches'!$I$1:$I$302,$I204))</f>
        <v/>
      </c>
      <c r="C204" s="8">
        <f>IF($I204="","",INDEX('Batches'!$A$1:$A$302,$I204))</f>
        <v/>
      </c>
      <c r="D204" s="8">
        <f>IF($I204="","",INDEX('Batches'!$B$1:$B$302,$I204))</f>
        <v/>
      </c>
      <c r="E204" s="8">
        <f>IF($I204="","",INDEX('Batches'!$C$1:$C$302,$I204))</f>
        <v/>
      </c>
      <c r="F204" s="8">
        <f>IF($I204="","",INDEX('Batches'!$G$1:$G$302,$I204))</f>
        <v/>
      </c>
      <c r="G204" s="16">
        <f>IF($I204="","",INDEX('Batches'!$H$1:$H$302,$I204))</f>
        <v/>
      </c>
      <c r="I204" s="16">
        <f>IFERROR(ROUND(MOD(SMALL('Batches'!$J$3:$J$302,200),1)*100000,0),"")</f>
        <v/>
      </c>
    </row>
    <row r="205">
      <c r="A205" s="18">
        <f>IF($I205="","",INDEX('Batches'!$D$1:$D$302,$I205))</f>
        <v/>
      </c>
      <c r="B205" s="16">
        <f>IF($I205="","",INDEX('Batches'!$I$1:$I$302,$I205))</f>
        <v/>
      </c>
      <c r="C205" s="8">
        <f>IF($I205="","",INDEX('Batches'!$A$1:$A$302,$I205))</f>
        <v/>
      </c>
      <c r="D205" s="8">
        <f>IF($I205="","",INDEX('Batches'!$B$1:$B$302,$I205))</f>
        <v/>
      </c>
      <c r="E205" s="8">
        <f>IF($I205="","",INDEX('Batches'!$C$1:$C$302,$I205))</f>
        <v/>
      </c>
      <c r="F205" s="8">
        <f>IF($I205="","",INDEX('Batches'!$G$1:$G$302,$I205))</f>
        <v/>
      </c>
      <c r="G205" s="16">
        <f>IF($I205="","",INDEX('Batches'!$H$1:$H$302,$I205))</f>
        <v/>
      </c>
      <c r="I205" s="16">
        <f>IFERROR(ROUND(MOD(SMALL('Batches'!$J$3:$J$302,201),1)*100000,0),"")</f>
        <v/>
      </c>
    </row>
    <row r="206">
      <c r="A206" s="18">
        <f>IF($I206="","",INDEX('Batches'!$D$1:$D$302,$I206))</f>
        <v/>
      </c>
      <c r="B206" s="16">
        <f>IF($I206="","",INDEX('Batches'!$I$1:$I$302,$I206))</f>
        <v/>
      </c>
      <c r="C206" s="8">
        <f>IF($I206="","",INDEX('Batches'!$A$1:$A$302,$I206))</f>
        <v/>
      </c>
      <c r="D206" s="8">
        <f>IF($I206="","",INDEX('Batches'!$B$1:$B$302,$I206))</f>
        <v/>
      </c>
      <c r="E206" s="8">
        <f>IF($I206="","",INDEX('Batches'!$C$1:$C$302,$I206))</f>
        <v/>
      </c>
      <c r="F206" s="8">
        <f>IF($I206="","",INDEX('Batches'!$G$1:$G$302,$I206))</f>
        <v/>
      </c>
      <c r="G206" s="16">
        <f>IF($I206="","",INDEX('Batches'!$H$1:$H$302,$I206))</f>
        <v/>
      </c>
      <c r="I206" s="16">
        <f>IFERROR(ROUND(MOD(SMALL('Batches'!$J$3:$J$302,202),1)*100000,0),"")</f>
        <v/>
      </c>
    </row>
    <row r="207">
      <c r="A207" s="18">
        <f>IF($I207="","",INDEX('Batches'!$D$1:$D$302,$I207))</f>
        <v/>
      </c>
      <c r="B207" s="16">
        <f>IF($I207="","",INDEX('Batches'!$I$1:$I$302,$I207))</f>
        <v/>
      </c>
      <c r="C207" s="8">
        <f>IF($I207="","",INDEX('Batches'!$A$1:$A$302,$I207))</f>
        <v/>
      </c>
      <c r="D207" s="8">
        <f>IF($I207="","",INDEX('Batches'!$B$1:$B$302,$I207))</f>
        <v/>
      </c>
      <c r="E207" s="8">
        <f>IF($I207="","",INDEX('Batches'!$C$1:$C$302,$I207))</f>
        <v/>
      </c>
      <c r="F207" s="8">
        <f>IF($I207="","",INDEX('Batches'!$G$1:$G$302,$I207))</f>
        <v/>
      </c>
      <c r="G207" s="16">
        <f>IF($I207="","",INDEX('Batches'!$H$1:$H$302,$I207))</f>
        <v/>
      </c>
      <c r="I207" s="16">
        <f>IFERROR(ROUND(MOD(SMALL('Batches'!$J$3:$J$302,203),1)*100000,0),"")</f>
        <v/>
      </c>
    </row>
    <row r="208">
      <c r="A208" s="18">
        <f>IF($I208="","",INDEX('Batches'!$D$1:$D$302,$I208))</f>
        <v/>
      </c>
      <c r="B208" s="16">
        <f>IF($I208="","",INDEX('Batches'!$I$1:$I$302,$I208))</f>
        <v/>
      </c>
      <c r="C208" s="8">
        <f>IF($I208="","",INDEX('Batches'!$A$1:$A$302,$I208))</f>
        <v/>
      </c>
      <c r="D208" s="8">
        <f>IF($I208="","",INDEX('Batches'!$B$1:$B$302,$I208))</f>
        <v/>
      </c>
      <c r="E208" s="8">
        <f>IF($I208="","",INDEX('Batches'!$C$1:$C$302,$I208))</f>
        <v/>
      </c>
      <c r="F208" s="8">
        <f>IF($I208="","",INDEX('Batches'!$G$1:$G$302,$I208))</f>
        <v/>
      </c>
      <c r="G208" s="16">
        <f>IF($I208="","",INDEX('Batches'!$H$1:$H$302,$I208))</f>
        <v/>
      </c>
      <c r="I208" s="16">
        <f>IFERROR(ROUND(MOD(SMALL('Batches'!$J$3:$J$302,204),1)*100000,0),"")</f>
        <v/>
      </c>
    </row>
    <row r="209">
      <c r="A209" s="18">
        <f>IF($I209="","",INDEX('Batches'!$D$1:$D$302,$I209))</f>
        <v/>
      </c>
      <c r="B209" s="16">
        <f>IF($I209="","",INDEX('Batches'!$I$1:$I$302,$I209))</f>
        <v/>
      </c>
      <c r="C209" s="8">
        <f>IF($I209="","",INDEX('Batches'!$A$1:$A$302,$I209))</f>
        <v/>
      </c>
      <c r="D209" s="8">
        <f>IF($I209="","",INDEX('Batches'!$B$1:$B$302,$I209))</f>
        <v/>
      </c>
      <c r="E209" s="8">
        <f>IF($I209="","",INDEX('Batches'!$C$1:$C$302,$I209))</f>
        <v/>
      </c>
      <c r="F209" s="8">
        <f>IF($I209="","",INDEX('Batches'!$G$1:$G$302,$I209))</f>
        <v/>
      </c>
      <c r="G209" s="16">
        <f>IF($I209="","",INDEX('Batches'!$H$1:$H$302,$I209))</f>
        <v/>
      </c>
      <c r="I209" s="16">
        <f>IFERROR(ROUND(MOD(SMALL('Batches'!$J$3:$J$302,205),1)*100000,0),"")</f>
        <v/>
      </c>
    </row>
    <row r="210">
      <c r="A210" s="18">
        <f>IF($I210="","",INDEX('Batches'!$D$1:$D$302,$I210))</f>
        <v/>
      </c>
      <c r="B210" s="16">
        <f>IF($I210="","",INDEX('Batches'!$I$1:$I$302,$I210))</f>
        <v/>
      </c>
      <c r="C210" s="8">
        <f>IF($I210="","",INDEX('Batches'!$A$1:$A$302,$I210))</f>
        <v/>
      </c>
      <c r="D210" s="8">
        <f>IF($I210="","",INDEX('Batches'!$B$1:$B$302,$I210))</f>
        <v/>
      </c>
      <c r="E210" s="8">
        <f>IF($I210="","",INDEX('Batches'!$C$1:$C$302,$I210))</f>
        <v/>
      </c>
      <c r="F210" s="8">
        <f>IF($I210="","",INDEX('Batches'!$G$1:$G$302,$I210))</f>
        <v/>
      </c>
      <c r="G210" s="16">
        <f>IF($I210="","",INDEX('Batches'!$H$1:$H$302,$I210))</f>
        <v/>
      </c>
      <c r="I210" s="16">
        <f>IFERROR(ROUND(MOD(SMALL('Batches'!$J$3:$J$302,206),1)*100000,0),"")</f>
        <v/>
      </c>
    </row>
    <row r="211">
      <c r="A211" s="18">
        <f>IF($I211="","",INDEX('Batches'!$D$1:$D$302,$I211))</f>
        <v/>
      </c>
      <c r="B211" s="16">
        <f>IF($I211="","",INDEX('Batches'!$I$1:$I$302,$I211))</f>
        <v/>
      </c>
      <c r="C211" s="8">
        <f>IF($I211="","",INDEX('Batches'!$A$1:$A$302,$I211))</f>
        <v/>
      </c>
      <c r="D211" s="8">
        <f>IF($I211="","",INDEX('Batches'!$B$1:$B$302,$I211))</f>
        <v/>
      </c>
      <c r="E211" s="8">
        <f>IF($I211="","",INDEX('Batches'!$C$1:$C$302,$I211))</f>
        <v/>
      </c>
      <c r="F211" s="8">
        <f>IF($I211="","",INDEX('Batches'!$G$1:$G$302,$I211))</f>
        <v/>
      </c>
      <c r="G211" s="16">
        <f>IF($I211="","",INDEX('Batches'!$H$1:$H$302,$I211))</f>
        <v/>
      </c>
      <c r="I211" s="16">
        <f>IFERROR(ROUND(MOD(SMALL('Batches'!$J$3:$J$302,207),1)*100000,0),"")</f>
        <v/>
      </c>
    </row>
    <row r="212">
      <c r="A212" s="18">
        <f>IF($I212="","",INDEX('Batches'!$D$1:$D$302,$I212))</f>
        <v/>
      </c>
      <c r="B212" s="16">
        <f>IF($I212="","",INDEX('Batches'!$I$1:$I$302,$I212))</f>
        <v/>
      </c>
      <c r="C212" s="8">
        <f>IF($I212="","",INDEX('Batches'!$A$1:$A$302,$I212))</f>
        <v/>
      </c>
      <c r="D212" s="8">
        <f>IF($I212="","",INDEX('Batches'!$B$1:$B$302,$I212))</f>
        <v/>
      </c>
      <c r="E212" s="8">
        <f>IF($I212="","",INDEX('Batches'!$C$1:$C$302,$I212))</f>
        <v/>
      </c>
      <c r="F212" s="8">
        <f>IF($I212="","",INDEX('Batches'!$G$1:$G$302,$I212))</f>
        <v/>
      </c>
      <c r="G212" s="16">
        <f>IF($I212="","",INDEX('Batches'!$H$1:$H$302,$I212))</f>
        <v/>
      </c>
      <c r="I212" s="16">
        <f>IFERROR(ROUND(MOD(SMALL('Batches'!$J$3:$J$302,208),1)*100000,0),"")</f>
        <v/>
      </c>
    </row>
    <row r="213">
      <c r="A213" s="18">
        <f>IF($I213="","",INDEX('Batches'!$D$1:$D$302,$I213))</f>
        <v/>
      </c>
      <c r="B213" s="16">
        <f>IF($I213="","",INDEX('Batches'!$I$1:$I$302,$I213))</f>
        <v/>
      </c>
      <c r="C213" s="8">
        <f>IF($I213="","",INDEX('Batches'!$A$1:$A$302,$I213))</f>
        <v/>
      </c>
      <c r="D213" s="8">
        <f>IF($I213="","",INDEX('Batches'!$B$1:$B$302,$I213))</f>
        <v/>
      </c>
      <c r="E213" s="8">
        <f>IF($I213="","",INDEX('Batches'!$C$1:$C$302,$I213))</f>
        <v/>
      </c>
      <c r="F213" s="8">
        <f>IF($I213="","",INDEX('Batches'!$G$1:$G$302,$I213))</f>
        <v/>
      </c>
      <c r="G213" s="16">
        <f>IF($I213="","",INDEX('Batches'!$H$1:$H$302,$I213))</f>
        <v/>
      </c>
      <c r="I213" s="16">
        <f>IFERROR(ROUND(MOD(SMALL('Batches'!$J$3:$J$302,209),1)*100000,0),"")</f>
        <v/>
      </c>
    </row>
    <row r="214">
      <c r="A214" s="18">
        <f>IF($I214="","",INDEX('Batches'!$D$1:$D$302,$I214))</f>
        <v/>
      </c>
      <c r="B214" s="16">
        <f>IF($I214="","",INDEX('Batches'!$I$1:$I$302,$I214))</f>
        <v/>
      </c>
      <c r="C214" s="8">
        <f>IF($I214="","",INDEX('Batches'!$A$1:$A$302,$I214))</f>
        <v/>
      </c>
      <c r="D214" s="8">
        <f>IF($I214="","",INDEX('Batches'!$B$1:$B$302,$I214))</f>
        <v/>
      </c>
      <c r="E214" s="8">
        <f>IF($I214="","",INDEX('Batches'!$C$1:$C$302,$I214))</f>
        <v/>
      </c>
      <c r="F214" s="8">
        <f>IF($I214="","",INDEX('Batches'!$G$1:$G$302,$I214))</f>
        <v/>
      </c>
      <c r="G214" s="16">
        <f>IF($I214="","",INDEX('Batches'!$H$1:$H$302,$I214))</f>
        <v/>
      </c>
      <c r="I214" s="16">
        <f>IFERROR(ROUND(MOD(SMALL('Batches'!$J$3:$J$302,210),1)*100000,0),"")</f>
        <v/>
      </c>
    </row>
    <row r="215">
      <c r="A215" s="18">
        <f>IF($I215="","",INDEX('Batches'!$D$1:$D$302,$I215))</f>
        <v/>
      </c>
      <c r="B215" s="16">
        <f>IF($I215="","",INDEX('Batches'!$I$1:$I$302,$I215))</f>
        <v/>
      </c>
      <c r="C215" s="8">
        <f>IF($I215="","",INDEX('Batches'!$A$1:$A$302,$I215))</f>
        <v/>
      </c>
      <c r="D215" s="8">
        <f>IF($I215="","",INDEX('Batches'!$B$1:$B$302,$I215))</f>
        <v/>
      </c>
      <c r="E215" s="8">
        <f>IF($I215="","",INDEX('Batches'!$C$1:$C$302,$I215))</f>
        <v/>
      </c>
      <c r="F215" s="8">
        <f>IF($I215="","",INDEX('Batches'!$G$1:$G$302,$I215))</f>
        <v/>
      </c>
      <c r="G215" s="16">
        <f>IF($I215="","",INDEX('Batches'!$H$1:$H$302,$I215))</f>
        <v/>
      </c>
      <c r="I215" s="16">
        <f>IFERROR(ROUND(MOD(SMALL('Batches'!$J$3:$J$302,211),1)*100000,0),"")</f>
        <v/>
      </c>
    </row>
    <row r="216">
      <c r="A216" s="18">
        <f>IF($I216="","",INDEX('Batches'!$D$1:$D$302,$I216))</f>
        <v/>
      </c>
      <c r="B216" s="16">
        <f>IF($I216="","",INDEX('Batches'!$I$1:$I$302,$I216))</f>
        <v/>
      </c>
      <c r="C216" s="8">
        <f>IF($I216="","",INDEX('Batches'!$A$1:$A$302,$I216))</f>
        <v/>
      </c>
      <c r="D216" s="8">
        <f>IF($I216="","",INDEX('Batches'!$B$1:$B$302,$I216))</f>
        <v/>
      </c>
      <c r="E216" s="8">
        <f>IF($I216="","",INDEX('Batches'!$C$1:$C$302,$I216))</f>
        <v/>
      </c>
      <c r="F216" s="8">
        <f>IF($I216="","",INDEX('Batches'!$G$1:$G$302,$I216))</f>
        <v/>
      </c>
      <c r="G216" s="16">
        <f>IF($I216="","",INDEX('Batches'!$H$1:$H$302,$I216))</f>
        <v/>
      </c>
      <c r="I216" s="16">
        <f>IFERROR(ROUND(MOD(SMALL('Batches'!$J$3:$J$302,212),1)*100000,0),"")</f>
        <v/>
      </c>
    </row>
    <row r="217">
      <c r="A217" s="18">
        <f>IF($I217="","",INDEX('Batches'!$D$1:$D$302,$I217))</f>
        <v/>
      </c>
      <c r="B217" s="16">
        <f>IF($I217="","",INDEX('Batches'!$I$1:$I$302,$I217))</f>
        <v/>
      </c>
      <c r="C217" s="8">
        <f>IF($I217="","",INDEX('Batches'!$A$1:$A$302,$I217))</f>
        <v/>
      </c>
      <c r="D217" s="8">
        <f>IF($I217="","",INDEX('Batches'!$B$1:$B$302,$I217))</f>
        <v/>
      </c>
      <c r="E217" s="8">
        <f>IF($I217="","",INDEX('Batches'!$C$1:$C$302,$I217))</f>
        <v/>
      </c>
      <c r="F217" s="8">
        <f>IF($I217="","",INDEX('Batches'!$G$1:$G$302,$I217))</f>
        <v/>
      </c>
      <c r="G217" s="16">
        <f>IF($I217="","",INDEX('Batches'!$H$1:$H$302,$I217))</f>
        <v/>
      </c>
      <c r="I217" s="16">
        <f>IFERROR(ROUND(MOD(SMALL('Batches'!$J$3:$J$302,213),1)*100000,0),"")</f>
        <v/>
      </c>
    </row>
    <row r="218">
      <c r="A218" s="18">
        <f>IF($I218="","",INDEX('Batches'!$D$1:$D$302,$I218))</f>
        <v/>
      </c>
      <c r="B218" s="16">
        <f>IF($I218="","",INDEX('Batches'!$I$1:$I$302,$I218))</f>
        <v/>
      </c>
      <c r="C218" s="8">
        <f>IF($I218="","",INDEX('Batches'!$A$1:$A$302,$I218))</f>
        <v/>
      </c>
      <c r="D218" s="8">
        <f>IF($I218="","",INDEX('Batches'!$B$1:$B$302,$I218))</f>
        <v/>
      </c>
      <c r="E218" s="8">
        <f>IF($I218="","",INDEX('Batches'!$C$1:$C$302,$I218))</f>
        <v/>
      </c>
      <c r="F218" s="8">
        <f>IF($I218="","",INDEX('Batches'!$G$1:$G$302,$I218))</f>
        <v/>
      </c>
      <c r="G218" s="16">
        <f>IF($I218="","",INDEX('Batches'!$H$1:$H$302,$I218))</f>
        <v/>
      </c>
      <c r="I218" s="16">
        <f>IFERROR(ROUND(MOD(SMALL('Batches'!$J$3:$J$302,214),1)*100000,0),"")</f>
        <v/>
      </c>
    </row>
    <row r="219">
      <c r="A219" s="18">
        <f>IF($I219="","",INDEX('Batches'!$D$1:$D$302,$I219))</f>
        <v/>
      </c>
      <c r="B219" s="16">
        <f>IF($I219="","",INDEX('Batches'!$I$1:$I$302,$I219))</f>
        <v/>
      </c>
      <c r="C219" s="8">
        <f>IF($I219="","",INDEX('Batches'!$A$1:$A$302,$I219))</f>
        <v/>
      </c>
      <c r="D219" s="8">
        <f>IF($I219="","",INDEX('Batches'!$B$1:$B$302,$I219))</f>
        <v/>
      </c>
      <c r="E219" s="8">
        <f>IF($I219="","",INDEX('Batches'!$C$1:$C$302,$I219))</f>
        <v/>
      </c>
      <c r="F219" s="8">
        <f>IF($I219="","",INDEX('Batches'!$G$1:$G$302,$I219))</f>
        <v/>
      </c>
      <c r="G219" s="16">
        <f>IF($I219="","",INDEX('Batches'!$H$1:$H$302,$I219))</f>
        <v/>
      </c>
      <c r="I219" s="16">
        <f>IFERROR(ROUND(MOD(SMALL('Batches'!$J$3:$J$302,215),1)*100000,0),"")</f>
        <v/>
      </c>
    </row>
    <row r="220">
      <c r="A220" s="18">
        <f>IF($I220="","",INDEX('Batches'!$D$1:$D$302,$I220))</f>
        <v/>
      </c>
      <c r="B220" s="16">
        <f>IF($I220="","",INDEX('Batches'!$I$1:$I$302,$I220))</f>
        <v/>
      </c>
      <c r="C220" s="8">
        <f>IF($I220="","",INDEX('Batches'!$A$1:$A$302,$I220))</f>
        <v/>
      </c>
      <c r="D220" s="8">
        <f>IF($I220="","",INDEX('Batches'!$B$1:$B$302,$I220))</f>
        <v/>
      </c>
      <c r="E220" s="8">
        <f>IF($I220="","",INDEX('Batches'!$C$1:$C$302,$I220))</f>
        <v/>
      </c>
      <c r="F220" s="8">
        <f>IF($I220="","",INDEX('Batches'!$G$1:$G$302,$I220))</f>
        <v/>
      </c>
      <c r="G220" s="16">
        <f>IF($I220="","",INDEX('Batches'!$H$1:$H$302,$I220))</f>
        <v/>
      </c>
      <c r="I220" s="16">
        <f>IFERROR(ROUND(MOD(SMALL('Batches'!$J$3:$J$302,216),1)*100000,0),"")</f>
        <v/>
      </c>
    </row>
    <row r="221">
      <c r="A221" s="18">
        <f>IF($I221="","",INDEX('Batches'!$D$1:$D$302,$I221))</f>
        <v/>
      </c>
      <c r="B221" s="16">
        <f>IF($I221="","",INDEX('Batches'!$I$1:$I$302,$I221))</f>
        <v/>
      </c>
      <c r="C221" s="8">
        <f>IF($I221="","",INDEX('Batches'!$A$1:$A$302,$I221))</f>
        <v/>
      </c>
      <c r="D221" s="8">
        <f>IF($I221="","",INDEX('Batches'!$B$1:$B$302,$I221))</f>
        <v/>
      </c>
      <c r="E221" s="8">
        <f>IF($I221="","",INDEX('Batches'!$C$1:$C$302,$I221))</f>
        <v/>
      </c>
      <c r="F221" s="8">
        <f>IF($I221="","",INDEX('Batches'!$G$1:$G$302,$I221))</f>
        <v/>
      </c>
      <c r="G221" s="16">
        <f>IF($I221="","",INDEX('Batches'!$H$1:$H$302,$I221))</f>
        <v/>
      </c>
      <c r="I221" s="16">
        <f>IFERROR(ROUND(MOD(SMALL('Batches'!$J$3:$J$302,217),1)*100000,0),"")</f>
        <v/>
      </c>
    </row>
    <row r="222">
      <c r="A222" s="18">
        <f>IF($I222="","",INDEX('Batches'!$D$1:$D$302,$I222))</f>
        <v/>
      </c>
      <c r="B222" s="16">
        <f>IF($I222="","",INDEX('Batches'!$I$1:$I$302,$I222))</f>
        <v/>
      </c>
      <c r="C222" s="8">
        <f>IF($I222="","",INDEX('Batches'!$A$1:$A$302,$I222))</f>
        <v/>
      </c>
      <c r="D222" s="8">
        <f>IF($I222="","",INDEX('Batches'!$B$1:$B$302,$I222))</f>
        <v/>
      </c>
      <c r="E222" s="8">
        <f>IF($I222="","",INDEX('Batches'!$C$1:$C$302,$I222))</f>
        <v/>
      </c>
      <c r="F222" s="8">
        <f>IF($I222="","",INDEX('Batches'!$G$1:$G$302,$I222))</f>
        <v/>
      </c>
      <c r="G222" s="16">
        <f>IF($I222="","",INDEX('Batches'!$H$1:$H$302,$I222))</f>
        <v/>
      </c>
      <c r="I222" s="16">
        <f>IFERROR(ROUND(MOD(SMALL('Batches'!$J$3:$J$302,218),1)*100000,0),"")</f>
        <v/>
      </c>
    </row>
    <row r="223">
      <c r="A223" s="18">
        <f>IF($I223="","",INDEX('Batches'!$D$1:$D$302,$I223))</f>
        <v/>
      </c>
      <c r="B223" s="16">
        <f>IF($I223="","",INDEX('Batches'!$I$1:$I$302,$I223))</f>
        <v/>
      </c>
      <c r="C223" s="8">
        <f>IF($I223="","",INDEX('Batches'!$A$1:$A$302,$I223))</f>
        <v/>
      </c>
      <c r="D223" s="8">
        <f>IF($I223="","",INDEX('Batches'!$B$1:$B$302,$I223))</f>
        <v/>
      </c>
      <c r="E223" s="8">
        <f>IF($I223="","",INDEX('Batches'!$C$1:$C$302,$I223))</f>
        <v/>
      </c>
      <c r="F223" s="8">
        <f>IF($I223="","",INDEX('Batches'!$G$1:$G$302,$I223))</f>
        <v/>
      </c>
      <c r="G223" s="16">
        <f>IF($I223="","",INDEX('Batches'!$H$1:$H$302,$I223))</f>
        <v/>
      </c>
      <c r="I223" s="16">
        <f>IFERROR(ROUND(MOD(SMALL('Batches'!$J$3:$J$302,219),1)*100000,0),"")</f>
        <v/>
      </c>
    </row>
    <row r="224">
      <c r="A224" s="18">
        <f>IF($I224="","",INDEX('Batches'!$D$1:$D$302,$I224))</f>
        <v/>
      </c>
      <c r="B224" s="16">
        <f>IF($I224="","",INDEX('Batches'!$I$1:$I$302,$I224))</f>
        <v/>
      </c>
      <c r="C224" s="8">
        <f>IF($I224="","",INDEX('Batches'!$A$1:$A$302,$I224))</f>
        <v/>
      </c>
      <c r="D224" s="8">
        <f>IF($I224="","",INDEX('Batches'!$B$1:$B$302,$I224))</f>
        <v/>
      </c>
      <c r="E224" s="8">
        <f>IF($I224="","",INDEX('Batches'!$C$1:$C$302,$I224))</f>
        <v/>
      </c>
      <c r="F224" s="8">
        <f>IF($I224="","",INDEX('Batches'!$G$1:$G$302,$I224))</f>
        <v/>
      </c>
      <c r="G224" s="16">
        <f>IF($I224="","",INDEX('Batches'!$H$1:$H$302,$I224))</f>
        <v/>
      </c>
      <c r="I224" s="16">
        <f>IFERROR(ROUND(MOD(SMALL('Batches'!$J$3:$J$302,220),1)*100000,0),"")</f>
        <v/>
      </c>
    </row>
    <row r="225">
      <c r="A225" s="18">
        <f>IF($I225="","",INDEX('Batches'!$D$1:$D$302,$I225))</f>
        <v/>
      </c>
      <c r="B225" s="16">
        <f>IF($I225="","",INDEX('Batches'!$I$1:$I$302,$I225))</f>
        <v/>
      </c>
      <c r="C225" s="8">
        <f>IF($I225="","",INDEX('Batches'!$A$1:$A$302,$I225))</f>
        <v/>
      </c>
      <c r="D225" s="8">
        <f>IF($I225="","",INDEX('Batches'!$B$1:$B$302,$I225))</f>
        <v/>
      </c>
      <c r="E225" s="8">
        <f>IF($I225="","",INDEX('Batches'!$C$1:$C$302,$I225))</f>
        <v/>
      </c>
      <c r="F225" s="8">
        <f>IF($I225="","",INDEX('Batches'!$G$1:$G$302,$I225))</f>
        <v/>
      </c>
      <c r="G225" s="16">
        <f>IF($I225="","",INDEX('Batches'!$H$1:$H$302,$I225))</f>
        <v/>
      </c>
      <c r="I225" s="16">
        <f>IFERROR(ROUND(MOD(SMALL('Batches'!$J$3:$J$302,221),1)*100000,0),"")</f>
        <v/>
      </c>
    </row>
    <row r="226">
      <c r="A226" s="18">
        <f>IF($I226="","",INDEX('Batches'!$D$1:$D$302,$I226))</f>
        <v/>
      </c>
      <c r="B226" s="16">
        <f>IF($I226="","",INDEX('Batches'!$I$1:$I$302,$I226))</f>
        <v/>
      </c>
      <c r="C226" s="8">
        <f>IF($I226="","",INDEX('Batches'!$A$1:$A$302,$I226))</f>
        <v/>
      </c>
      <c r="D226" s="8">
        <f>IF($I226="","",INDEX('Batches'!$B$1:$B$302,$I226))</f>
        <v/>
      </c>
      <c r="E226" s="8">
        <f>IF($I226="","",INDEX('Batches'!$C$1:$C$302,$I226))</f>
        <v/>
      </c>
      <c r="F226" s="8">
        <f>IF($I226="","",INDEX('Batches'!$G$1:$G$302,$I226))</f>
        <v/>
      </c>
      <c r="G226" s="16">
        <f>IF($I226="","",INDEX('Batches'!$H$1:$H$302,$I226))</f>
        <v/>
      </c>
      <c r="I226" s="16">
        <f>IFERROR(ROUND(MOD(SMALL('Batches'!$J$3:$J$302,222),1)*100000,0),"")</f>
        <v/>
      </c>
    </row>
    <row r="227">
      <c r="A227" s="18">
        <f>IF($I227="","",INDEX('Batches'!$D$1:$D$302,$I227))</f>
        <v/>
      </c>
      <c r="B227" s="16">
        <f>IF($I227="","",INDEX('Batches'!$I$1:$I$302,$I227))</f>
        <v/>
      </c>
      <c r="C227" s="8">
        <f>IF($I227="","",INDEX('Batches'!$A$1:$A$302,$I227))</f>
        <v/>
      </c>
      <c r="D227" s="8">
        <f>IF($I227="","",INDEX('Batches'!$B$1:$B$302,$I227))</f>
        <v/>
      </c>
      <c r="E227" s="8">
        <f>IF($I227="","",INDEX('Batches'!$C$1:$C$302,$I227))</f>
        <v/>
      </c>
      <c r="F227" s="8">
        <f>IF($I227="","",INDEX('Batches'!$G$1:$G$302,$I227))</f>
        <v/>
      </c>
      <c r="G227" s="16">
        <f>IF($I227="","",INDEX('Batches'!$H$1:$H$302,$I227))</f>
        <v/>
      </c>
      <c r="I227" s="16">
        <f>IFERROR(ROUND(MOD(SMALL('Batches'!$J$3:$J$302,223),1)*100000,0),"")</f>
        <v/>
      </c>
    </row>
    <row r="228">
      <c r="A228" s="18">
        <f>IF($I228="","",INDEX('Batches'!$D$1:$D$302,$I228))</f>
        <v/>
      </c>
      <c r="B228" s="16">
        <f>IF($I228="","",INDEX('Batches'!$I$1:$I$302,$I228))</f>
        <v/>
      </c>
      <c r="C228" s="8">
        <f>IF($I228="","",INDEX('Batches'!$A$1:$A$302,$I228))</f>
        <v/>
      </c>
      <c r="D228" s="8">
        <f>IF($I228="","",INDEX('Batches'!$B$1:$B$302,$I228))</f>
        <v/>
      </c>
      <c r="E228" s="8">
        <f>IF($I228="","",INDEX('Batches'!$C$1:$C$302,$I228))</f>
        <v/>
      </c>
      <c r="F228" s="8">
        <f>IF($I228="","",INDEX('Batches'!$G$1:$G$302,$I228))</f>
        <v/>
      </c>
      <c r="G228" s="16">
        <f>IF($I228="","",INDEX('Batches'!$H$1:$H$302,$I228))</f>
        <v/>
      </c>
      <c r="I228" s="16">
        <f>IFERROR(ROUND(MOD(SMALL('Batches'!$J$3:$J$302,224),1)*100000,0),"")</f>
        <v/>
      </c>
    </row>
    <row r="229">
      <c r="A229" s="18">
        <f>IF($I229="","",INDEX('Batches'!$D$1:$D$302,$I229))</f>
        <v/>
      </c>
      <c r="B229" s="16">
        <f>IF($I229="","",INDEX('Batches'!$I$1:$I$302,$I229))</f>
        <v/>
      </c>
      <c r="C229" s="8">
        <f>IF($I229="","",INDEX('Batches'!$A$1:$A$302,$I229))</f>
        <v/>
      </c>
      <c r="D229" s="8">
        <f>IF($I229="","",INDEX('Batches'!$B$1:$B$302,$I229))</f>
        <v/>
      </c>
      <c r="E229" s="8">
        <f>IF($I229="","",INDEX('Batches'!$C$1:$C$302,$I229))</f>
        <v/>
      </c>
      <c r="F229" s="8">
        <f>IF($I229="","",INDEX('Batches'!$G$1:$G$302,$I229))</f>
        <v/>
      </c>
      <c r="G229" s="16">
        <f>IF($I229="","",INDEX('Batches'!$H$1:$H$302,$I229))</f>
        <v/>
      </c>
      <c r="I229" s="16">
        <f>IFERROR(ROUND(MOD(SMALL('Batches'!$J$3:$J$302,225),1)*100000,0),"")</f>
        <v/>
      </c>
    </row>
    <row r="230">
      <c r="A230" s="18">
        <f>IF($I230="","",INDEX('Batches'!$D$1:$D$302,$I230))</f>
        <v/>
      </c>
      <c r="B230" s="16">
        <f>IF($I230="","",INDEX('Batches'!$I$1:$I$302,$I230))</f>
        <v/>
      </c>
      <c r="C230" s="8">
        <f>IF($I230="","",INDEX('Batches'!$A$1:$A$302,$I230))</f>
        <v/>
      </c>
      <c r="D230" s="8">
        <f>IF($I230="","",INDEX('Batches'!$B$1:$B$302,$I230))</f>
        <v/>
      </c>
      <c r="E230" s="8">
        <f>IF($I230="","",INDEX('Batches'!$C$1:$C$302,$I230))</f>
        <v/>
      </c>
      <c r="F230" s="8">
        <f>IF($I230="","",INDEX('Batches'!$G$1:$G$302,$I230))</f>
        <v/>
      </c>
      <c r="G230" s="16">
        <f>IF($I230="","",INDEX('Batches'!$H$1:$H$302,$I230))</f>
        <v/>
      </c>
      <c r="I230" s="16">
        <f>IFERROR(ROUND(MOD(SMALL('Batches'!$J$3:$J$302,226),1)*100000,0),"")</f>
        <v/>
      </c>
    </row>
    <row r="231">
      <c r="A231" s="18">
        <f>IF($I231="","",INDEX('Batches'!$D$1:$D$302,$I231))</f>
        <v/>
      </c>
      <c r="B231" s="16">
        <f>IF($I231="","",INDEX('Batches'!$I$1:$I$302,$I231))</f>
        <v/>
      </c>
      <c r="C231" s="8">
        <f>IF($I231="","",INDEX('Batches'!$A$1:$A$302,$I231))</f>
        <v/>
      </c>
      <c r="D231" s="8">
        <f>IF($I231="","",INDEX('Batches'!$B$1:$B$302,$I231))</f>
        <v/>
      </c>
      <c r="E231" s="8">
        <f>IF($I231="","",INDEX('Batches'!$C$1:$C$302,$I231))</f>
        <v/>
      </c>
      <c r="F231" s="8">
        <f>IF($I231="","",INDEX('Batches'!$G$1:$G$302,$I231))</f>
        <v/>
      </c>
      <c r="G231" s="16">
        <f>IF($I231="","",INDEX('Batches'!$H$1:$H$302,$I231))</f>
        <v/>
      </c>
      <c r="I231" s="16">
        <f>IFERROR(ROUND(MOD(SMALL('Batches'!$J$3:$J$302,227),1)*100000,0),"")</f>
        <v/>
      </c>
    </row>
    <row r="232">
      <c r="A232" s="18">
        <f>IF($I232="","",INDEX('Batches'!$D$1:$D$302,$I232))</f>
        <v/>
      </c>
      <c r="B232" s="16">
        <f>IF($I232="","",INDEX('Batches'!$I$1:$I$302,$I232))</f>
        <v/>
      </c>
      <c r="C232" s="8">
        <f>IF($I232="","",INDEX('Batches'!$A$1:$A$302,$I232))</f>
        <v/>
      </c>
      <c r="D232" s="8">
        <f>IF($I232="","",INDEX('Batches'!$B$1:$B$302,$I232))</f>
        <v/>
      </c>
      <c r="E232" s="8">
        <f>IF($I232="","",INDEX('Batches'!$C$1:$C$302,$I232))</f>
        <v/>
      </c>
      <c r="F232" s="8">
        <f>IF($I232="","",INDEX('Batches'!$G$1:$G$302,$I232))</f>
        <v/>
      </c>
      <c r="G232" s="16">
        <f>IF($I232="","",INDEX('Batches'!$H$1:$H$302,$I232))</f>
        <v/>
      </c>
      <c r="I232" s="16">
        <f>IFERROR(ROUND(MOD(SMALL('Batches'!$J$3:$J$302,228),1)*100000,0),"")</f>
        <v/>
      </c>
    </row>
    <row r="233">
      <c r="A233" s="18">
        <f>IF($I233="","",INDEX('Batches'!$D$1:$D$302,$I233))</f>
        <v/>
      </c>
      <c r="B233" s="16">
        <f>IF($I233="","",INDEX('Batches'!$I$1:$I$302,$I233))</f>
        <v/>
      </c>
      <c r="C233" s="8">
        <f>IF($I233="","",INDEX('Batches'!$A$1:$A$302,$I233))</f>
        <v/>
      </c>
      <c r="D233" s="8">
        <f>IF($I233="","",INDEX('Batches'!$B$1:$B$302,$I233))</f>
        <v/>
      </c>
      <c r="E233" s="8">
        <f>IF($I233="","",INDEX('Batches'!$C$1:$C$302,$I233))</f>
        <v/>
      </c>
      <c r="F233" s="8">
        <f>IF($I233="","",INDEX('Batches'!$G$1:$G$302,$I233))</f>
        <v/>
      </c>
      <c r="G233" s="16">
        <f>IF($I233="","",INDEX('Batches'!$H$1:$H$302,$I233))</f>
        <v/>
      </c>
      <c r="I233" s="16">
        <f>IFERROR(ROUND(MOD(SMALL('Batches'!$J$3:$J$302,229),1)*100000,0),"")</f>
        <v/>
      </c>
    </row>
    <row r="234">
      <c r="A234" s="18">
        <f>IF($I234="","",INDEX('Batches'!$D$1:$D$302,$I234))</f>
        <v/>
      </c>
      <c r="B234" s="16">
        <f>IF($I234="","",INDEX('Batches'!$I$1:$I$302,$I234))</f>
        <v/>
      </c>
      <c r="C234" s="8">
        <f>IF($I234="","",INDEX('Batches'!$A$1:$A$302,$I234))</f>
        <v/>
      </c>
      <c r="D234" s="8">
        <f>IF($I234="","",INDEX('Batches'!$B$1:$B$302,$I234))</f>
        <v/>
      </c>
      <c r="E234" s="8">
        <f>IF($I234="","",INDEX('Batches'!$C$1:$C$302,$I234))</f>
        <v/>
      </c>
      <c r="F234" s="8">
        <f>IF($I234="","",INDEX('Batches'!$G$1:$G$302,$I234))</f>
        <v/>
      </c>
      <c r="G234" s="16">
        <f>IF($I234="","",INDEX('Batches'!$H$1:$H$302,$I234))</f>
        <v/>
      </c>
      <c r="I234" s="16">
        <f>IFERROR(ROUND(MOD(SMALL('Batches'!$J$3:$J$302,230),1)*100000,0),"")</f>
        <v/>
      </c>
    </row>
    <row r="235">
      <c r="A235" s="18">
        <f>IF($I235="","",INDEX('Batches'!$D$1:$D$302,$I235))</f>
        <v/>
      </c>
      <c r="B235" s="16">
        <f>IF($I235="","",INDEX('Batches'!$I$1:$I$302,$I235))</f>
        <v/>
      </c>
      <c r="C235" s="8">
        <f>IF($I235="","",INDEX('Batches'!$A$1:$A$302,$I235))</f>
        <v/>
      </c>
      <c r="D235" s="8">
        <f>IF($I235="","",INDEX('Batches'!$B$1:$B$302,$I235))</f>
        <v/>
      </c>
      <c r="E235" s="8">
        <f>IF($I235="","",INDEX('Batches'!$C$1:$C$302,$I235))</f>
        <v/>
      </c>
      <c r="F235" s="8">
        <f>IF($I235="","",INDEX('Batches'!$G$1:$G$302,$I235))</f>
        <v/>
      </c>
      <c r="G235" s="16">
        <f>IF($I235="","",INDEX('Batches'!$H$1:$H$302,$I235))</f>
        <v/>
      </c>
      <c r="I235" s="16">
        <f>IFERROR(ROUND(MOD(SMALL('Batches'!$J$3:$J$302,231),1)*100000,0),"")</f>
        <v/>
      </c>
    </row>
    <row r="236">
      <c r="A236" s="18">
        <f>IF($I236="","",INDEX('Batches'!$D$1:$D$302,$I236))</f>
        <v/>
      </c>
      <c r="B236" s="16">
        <f>IF($I236="","",INDEX('Batches'!$I$1:$I$302,$I236))</f>
        <v/>
      </c>
      <c r="C236" s="8">
        <f>IF($I236="","",INDEX('Batches'!$A$1:$A$302,$I236))</f>
        <v/>
      </c>
      <c r="D236" s="8">
        <f>IF($I236="","",INDEX('Batches'!$B$1:$B$302,$I236))</f>
        <v/>
      </c>
      <c r="E236" s="8">
        <f>IF($I236="","",INDEX('Batches'!$C$1:$C$302,$I236))</f>
        <v/>
      </c>
      <c r="F236" s="8">
        <f>IF($I236="","",INDEX('Batches'!$G$1:$G$302,$I236))</f>
        <v/>
      </c>
      <c r="G236" s="16">
        <f>IF($I236="","",INDEX('Batches'!$H$1:$H$302,$I236))</f>
        <v/>
      </c>
      <c r="I236" s="16">
        <f>IFERROR(ROUND(MOD(SMALL('Batches'!$J$3:$J$302,232),1)*100000,0),"")</f>
        <v/>
      </c>
    </row>
    <row r="237">
      <c r="A237" s="18">
        <f>IF($I237="","",INDEX('Batches'!$D$1:$D$302,$I237))</f>
        <v/>
      </c>
      <c r="B237" s="16">
        <f>IF($I237="","",INDEX('Batches'!$I$1:$I$302,$I237))</f>
        <v/>
      </c>
      <c r="C237" s="8">
        <f>IF($I237="","",INDEX('Batches'!$A$1:$A$302,$I237))</f>
        <v/>
      </c>
      <c r="D237" s="8">
        <f>IF($I237="","",INDEX('Batches'!$B$1:$B$302,$I237))</f>
        <v/>
      </c>
      <c r="E237" s="8">
        <f>IF($I237="","",INDEX('Batches'!$C$1:$C$302,$I237))</f>
        <v/>
      </c>
      <c r="F237" s="8">
        <f>IF($I237="","",INDEX('Batches'!$G$1:$G$302,$I237))</f>
        <v/>
      </c>
      <c r="G237" s="16">
        <f>IF($I237="","",INDEX('Batches'!$H$1:$H$302,$I237))</f>
        <v/>
      </c>
      <c r="I237" s="16">
        <f>IFERROR(ROUND(MOD(SMALL('Batches'!$J$3:$J$302,233),1)*100000,0),"")</f>
        <v/>
      </c>
    </row>
    <row r="238">
      <c r="A238" s="18">
        <f>IF($I238="","",INDEX('Batches'!$D$1:$D$302,$I238))</f>
        <v/>
      </c>
      <c r="B238" s="16">
        <f>IF($I238="","",INDEX('Batches'!$I$1:$I$302,$I238))</f>
        <v/>
      </c>
      <c r="C238" s="8">
        <f>IF($I238="","",INDEX('Batches'!$A$1:$A$302,$I238))</f>
        <v/>
      </c>
      <c r="D238" s="8">
        <f>IF($I238="","",INDEX('Batches'!$B$1:$B$302,$I238))</f>
        <v/>
      </c>
      <c r="E238" s="8">
        <f>IF($I238="","",INDEX('Batches'!$C$1:$C$302,$I238))</f>
        <v/>
      </c>
      <c r="F238" s="8">
        <f>IF($I238="","",INDEX('Batches'!$G$1:$G$302,$I238))</f>
        <v/>
      </c>
      <c r="G238" s="16">
        <f>IF($I238="","",INDEX('Batches'!$H$1:$H$302,$I238))</f>
        <v/>
      </c>
      <c r="I238" s="16">
        <f>IFERROR(ROUND(MOD(SMALL('Batches'!$J$3:$J$302,234),1)*100000,0),"")</f>
        <v/>
      </c>
    </row>
    <row r="239">
      <c r="A239" s="18">
        <f>IF($I239="","",INDEX('Batches'!$D$1:$D$302,$I239))</f>
        <v/>
      </c>
      <c r="B239" s="16">
        <f>IF($I239="","",INDEX('Batches'!$I$1:$I$302,$I239))</f>
        <v/>
      </c>
      <c r="C239" s="8">
        <f>IF($I239="","",INDEX('Batches'!$A$1:$A$302,$I239))</f>
        <v/>
      </c>
      <c r="D239" s="8">
        <f>IF($I239="","",INDEX('Batches'!$B$1:$B$302,$I239))</f>
        <v/>
      </c>
      <c r="E239" s="8">
        <f>IF($I239="","",INDEX('Batches'!$C$1:$C$302,$I239))</f>
        <v/>
      </c>
      <c r="F239" s="8">
        <f>IF($I239="","",INDEX('Batches'!$G$1:$G$302,$I239))</f>
        <v/>
      </c>
      <c r="G239" s="16">
        <f>IF($I239="","",INDEX('Batches'!$H$1:$H$302,$I239))</f>
        <v/>
      </c>
      <c r="I239" s="16">
        <f>IFERROR(ROUND(MOD(SMALL('Batches'!$J$3:$J$302,235),1)*100000,0),"")</f>
        <v/>
      </c>
    </row>
    <row r="240">
      <c r="A240" s="18">
        <f>IF($I240="","",INDEX('Batches'!$D$1:$D$302,$I240))</f>
        <v/>
      </c>
      <c r="B240" s="16">
        <f>IF($I240="","",INDEX('Batches'!$I$1:$I$302,$I240))</f>
        <v/>
      </c>
      <c r="C240" s="8">
        <f>IF($I240="","",INDEX('Batches'!$A$1:$A$302,$I240))</f>
        <v/>
      </c>
      <c r="D240" s="8">
        <f>IF($I240="","",INDEX('Batches'!$B$1:$B$302,$I240))</f>
        <v/>
      </c>
      <c r="E240" s="8">
        <f>IF($I240="","",INDEX('Batches'!$C$1:$C$302,$I240))</f>
        <v/>
      </c>
      <c r="F240" s="8">
        <f>IF($I240="","",INDEX('Batches'!$G$1:$G$302,$I240))</f>
        <v/>
      </c>
      <c r="G240" s="16">
        <f>IF($I240="","",INDEX('Batches'!$H$1:$H$302,$I240))</f>
        <v/>
      </c>
      <c r="I240" s="16">
        <f>IFERROR(ROUND(MOD(SMALL('Batches'!$J$3:$J$302,236),1)*100000,0),"")</f>
        <v/>
      </c>
    </row>
    <row r="241">
      <c r="A241" s="18">
        <f>IF($I241="","",INDEX('Batches'!$D$1:$D$302,$I241))</f>
        <v/>
      </c>
      <c r="B241" s="16">
        <f>IF($I241="","",INDEX('Batches'!$I$1:$I$302,$I241))</f>
        <v/>
      </c>
      <c r="C241" s="8">
        <f>IF($I241="","",INDEX('Batches'!$A$1:$A$302,$I241))</f>
        <v/>
      </c>
      <c r="D241" s="8">
        <f>IF($I241="","",INDEX('Batches'!$B$1:$B$302,$I241))</f>
        <v/>
      </c>
      <c r="E241" s="8">
        <f>IF($I241="","",INDEX('Batches'!$C$1:$C$302,$I241))</f>
        <v/>
      </c>
      <c r="F241" s="8">
        <f>IF($I241="","",INDEX('Batches'!$G$1:$G$302,$I241))</f>
        <v/>
      </c>
      <c r="G241" s="16">
        <f>IF($I241="","",INDEX('Batches'!$H$1:$H$302,$I241))</f>
        <v/>
      </c>
      <c r="I241" s="16">
        <f>IFERROR(ROUND(MOD(SMALL('Batches'!$J$3:$J$302,237),1)*100000,0),"")</f>
        <v/>
      </c>
    </row>
    <row r="242">
      <c r="A242" s="18">
        <f>IF($I242="","",INDEX('Batches'!$D$1:$D$302,$I242))</f>
        <v/>
      </c>
      <c r="B242" s="16">
        <f>IF($I242="","",INDEX('Batches'!$I$1:$I$302,$I242))</f>
        <v/>
      </c>
      <c r="C242" s="8">
        <f>IF($I242="","",INDEX('Batches'!$A$1:$A$302,$I242))</f>
        <v/>
      </c>
      <c r="D242" s="8">
        <f>IF($I242="","",INDEX('Batches'!$B$1:$B$302,$I242))</f>
        <v/>
      </c>
      <c r="E242" s="8">
        <f>IF($I242="","",INDEX('Batches'!$C$1:$C$302,$I242))</f>
        <v/>
      </c>
      <c r="F242" s="8">
        <f>IF($I242="","",INDEX('Batches'!$G$1:$G$302,$I242))</f>
        <v/>
      </c>
      <c r="G242" s="16">
        <f>IF($I242="","",INDEX('Batches'!$H$1:$H$302,$I242))</f>
        <v/>
      </c>
      <c r="I242" s="16">
        <f>IFERROR(ROUND(MOD(SMALL('Batches'!$J$3:$J$302,238),1)*100000,0),"")</f>
        <v/>
      </c>
    </row>
    <row r="243">
      <c r="A243" s="18">
        <f>IF($I243="","",INDEX('Batches'!$D$1:$D$302,$I243))</f>
        <v/>
      </c>
      <c r="B243" s="16">
        <f>IF($I243="","",INDEX('Batches'!$I$1:$I$302,$I243))</f>
        <v/>
      </c>
      <c r="C243" s="8">
        <f>IF($I243="","",INDEX('Batches'!$A$1:$A$302,$I243))</f>
        <v/>
      </c>
      <c r="D243" s="8">
        <f>IF($I243="","",INDEX('Batches'!$B$1:$B$302,$I243))</f>
        <v/>
      </c>
      <c r="E243" s="8">
        <f>IF($I243="","",INDEX('Batches'!$C$1:$C$302,$I243))</f>
        <v/>
      </c>
      <c r="F243" s="8">
        <f>IF($I243="","",INDEX('Batches'!$G$1:$G$302,$I243))</f>
        <v/>
      </c>
      <c r="G243" s="16">
        <f>IF($I243="","",INDEX('Batches'!$H$1:$H$302,$I243))</f>
        <v/>
      </c>
      <c r="I243" s="16">
        <f>IFERROR(ROUND(MOD(SMALL('Batches'!$J$3:$J$302,239),1)*100000,0),"")</f>
        <v/>
      </c>
    </row>
    <row r="244">
      <c r="A244" s="18">
        <f>IF($I244="","",INDEX('Batches'!$D$1:$D$302,$I244))</f>
        <v/>
      </c>
      <c r="B244" s="16">
        <f>IF($I244="","",INDEX('Batches'!$I$1:$I$302,$I244))</f>
        <v/>
      </c>
      <c r="C244" s="8">
        <f>IF($I244="","",INDEX('Batches'!$A$1:$A$302,$I244))</f>
        <v/>
      </c>
      <c r="D244" s="8">
        <f>IF($I244="","",INDEX('Batches'!$B$1:$B$302,$I244))</f>
        <v/>
      </c>
      <c r="E244" s="8">
        <f>IF($I244="","",INDEX('Batches'!$C$1:$C$302,$I244))</f>
        <v/>
      </c>
      <c r="F244" s="8">
        <f>IF($I244="","",INDEX('Batches'!$G$1:$G$302,$I244))</f>
        <v/>
      </c>
      <c r="G244" s="16">
        <f>IF($I244="","",INDEX('Batches'!$H$1:$H$302,$I244))</f>
        <v/>
      </c>
      <c r="I244" s="16">
        <f>IFERROR(ROUND(MOD(SMALL('Batches'!$J$3:$J$302,240),1)*100000,0),"")</f>
        <v/>
      </c>
    </row>
    <row r="245">
      <c r="A245" s="18">
        <f>IF($I245="","",INDEX('Batches'!$D$1:$D$302,$I245))</f>
        <v/>
      </c>
      <c r="B245" s="16">
        <f>IF($I245="","",INDEX('Batches'!$I$1:$I$302,$I245))</f>
        <v/>
      </c>
      <c r="C245" s="8">
        <f>IF($I245="","",INDEX('Batches'!$A$1:$A$302,$I245))</f>
        <v/>
      </c>
      <c r="D245" s="8">
        <f>IF($I245="","",INDEX('Batches'!$B$1:$B$302,$I245))</f>
        <v/>
      </c>
      <c r="E245" s="8">
        <f>IF($I245="","",INDEX('Batches'!$C$1:$C$302,$I245))</f>
        <v/>
      </c>
      <c r="F245" s="8">
        <f>IF($I245="","",INDEX('Batches'!$G$1:$G$302,$I245))</f>
        <v/>
      </c>
      <c r="G245" s="16">
        <f>IF($I245="","",INDEX('Batches'!$H$1:$H$302,$I245))</f>
        <v/>
      </c>
      <c r="I245" s="16">
        <f>IFERROR(ROUND(MOD(SMALL('Batches'!$J$3:$J$302,241),1)*100000,0),"")</f>
        <v/>
      </c>
    </row>
    <row r="246">
      <c r="A246" s="18">
        <f>IF($I246="","",INDEX('Batches'!$D$1:$D$302,$I246))</f>
        <v/>
      </c>
      <c r="B246" s="16">
        <f>IF($I246="","",INDEX('Batches'!$I$1:$I$302,$I246))</f>
        <v/>
      </c>
      <c r="C246" s="8">
        <f>IF($I246="","",INDEX('Batches'!$A$1:$A$302,$I246))</f>
        <v/>
      </c>
      <c r="D246" s="8">
        <f>IF($I246="","",INDEX('Batches'!$B$1:$B$302,$I246))</f>
        <v/>
      </c>
      <c r="E246" s="8">
        <f>IF($I246="","",INDEX('Batches'!$C$1:$C$302,$I246))</f>
        <v/>
      </c>
      <c r="F246" s="8">
        <f>IF($I246="","",INDEX('Batches'!$G$1:$G$302,$I246))</f>
        <v/>
      </c>
      <c r="G246" s="16">
        <f>IF($I246="","",INDEX('Batches'!$H$1:$H$302,$I246))</f>
        <v/>
      </c>
      <c r="I246" s="16">
        <f>IFERROR(ROUND(MOD(SMALL('Batches'!$J$3:$J$302,242),1)*100000,0),"")</f>
        <v/>
      </c>
    </row>
    <row r="247">
      <c r="A247" s="18">
        <f>IF($I247="","",INDEX('Batches'!$D$1:$D$302,$I247))</f>
        <v/>
      </c>
      <c r="B247" s="16">
        <f>IF($I247="","",INDEX('Batches'!$I$1:$I$302,$I247))</f>
        <v/>
      </c>
      <c r="C247" s="8">
        <f>IF($I247="","",INDEX('Batches'!$A$1:$A$302,$I247))</f>
        <v/>
      </c>
      <c r="D247" s="8">
        <f>IF($I247="","",INDEX('Batches'!$B$1:$B$302,$I247))</f>
        <v/>
      </c>
      <c r="E247" s="8">
        <f>IF($I247="","",INDEX('Batches'!$C$1:$C$302,$I247))</f>
        <v/>
      </c>
      <c r="F247" s="8">
        <f>IF($I247="","",INDEX('Batches'!$G$1:$G$302,$I247))</f>
        <v/>
      </c>
      <c r="G247" s="16">
        <f>IF($I247="","",INDEX('Batches'!$H$1:$H$302,$I247))</f>
        <v/>
      </c>
      <c r="I247" s="16">
        <f>IFERROR(ROUND(MOD(SMALL('Batches'!$J$3:$J$302,243),1)*100000,0),"")</f>
        <v/>
      </c>
    </row>
    <row r="248">
      <c r="A248" s="18">
        <f>IF($I248="","",INDEX('Batches'!$D$1:$D$302,$I248))</f>
        <v/>
      </c>
      <c r="B248" s="16">
        <f>IF($I248="","",INDEX('Batches'!$I$1:$I$302,$I248))</f>
        <v/>
      </c>
      <c r="C248" s="8">
        <f>IF($I248="","",INDEX('Batches'!$A$1:$A$302,$I248))</f>
        <v/>
      </c>
      <c r="D248" s="8">
        <f>IF($I248="","",INDEX('Batches'!$B$1:$B$302,$I248))</f>
        <v/>
      </c>
      <c r="E248" s="8">
        <f>IF($I248="","",INDEX('Batches'!$C$1:$C$302,$I248))</f>
        <v/>
      </c>
      <c r="F248" s="8">
        <f>IF($I248="","",INDEX('Batches'!$G$1:$G$302,$I248))</f>
        <v/>
      </c>
      <c r="G248" s="16">
        <f>IF($I248="","",INDEX('Batches'!$H$1:$H$302,$I248))</f>
        <v/>
      </c>
      <c r="I248" s="16">
        <f>IFERROR(ROUND(MOD(SMALL('Batches'!$J$3:$J$302,244),1)*100000,0),"")</f>
        <v/>
      </c>
    </row>
    <row r="249">
      <c r="A249" s="18">
        <f>IF($I249="","",INDEX('Batches'!$D$1:$D$302,$I249))</f>
        <v/>
      </c>
      <c r="B249" s="16">
        <f>IF($I249="","",INDEX('Batches'!$I$1:$I$302,$I249))</f>
        <v/>
      </c>
      <c r="C249" s="8">
        <f>IF($I249="","",INDEX('Batches'!$A$1:$A$302,$I249))</f>
        <v/>
      </c>
      <c r="D249" s="8">
        <f>IF($I249="","",INDEX('Batches'!$B$1:$B$302,$I249))</f>
        <v/>
      </c>
      <c r="E249" s="8">
        <f>IF($I249="","",INDEX('Batches'!$C$1:$C$302,$I249))</f>
        <v/>
      </c>
      <c r="F249" s="8">
        <f>IF($I249="","",INDEX('Batches'!$G$1:$G$302,$I249))</f>
        <v/>
      </c>
      <c r="G249" s="16">
        <f>IF($I249="","",INDEX('Batches'!$H$1:$H$302,$I249))</f>
        <v/>
      </c>
      <c r="I249" s="16">
        <f>IFERROR(ROUND(MOD(SMALL('Batches'!$J$3:$J$302,245),1)*100000,0),"")</f>
        <v/>
      </c>
    </row>
    <row r="250">
      <c r="A250" s="18">
        <f>IF($I250="","",INDEX('Batches'!$D$1:$D$302,$I250))</f>
        <v/>
      </c>
      <c r="B250" s="16">
        <f>IF($I250="","",INDEX('Batches'!$I$1:$I$302,$I250))</f>
        <v/>
      </c>
      <c r="C250" s="8">
        <f>IF($I250="","",INDEX('Batches'!$A$1:$A$302,$I250))</f>
        <v/>
      </c>
      <c r="D250" s="8">
        <f>IF($I250="","",INDEX('Batches'!$B$1:$B$302,$I250))</f>
        <v/>
      </c>
      <c r="E250" s="8">
        <f>IF($I250="","",INDEX('Batches'!$C$1:$C$302,$I250))</f>
        <v/>
      </c>
      <c r="F250" s="8">
        <f>IF($I250="","",INDEX('Batches'!$G$1:$G$302,$I250))</f>
        <v/>
      </c>
      <c r="G250" s="16">
        <f>IF($I250="","",INDEX('Batches'!$H$1:$H$302,$I250))</f>
        <v/>
      </c>
      <c r="I250" s="16">
        <f>IFERROR(ROUND(MOD(SMALL('Batches'!$J$3:$J$302,246),1)*100000,0),"")</f>
        <v/>
      </c>
    </row>
    <row r="251">
      <c r="A251" s="18">
        <f>IF($I251="","",INDEX('Batches'!$D$1:$D$302,$I251))</f>
        <v/>
      </c>
      <c r="B251" s="16">
        <f>IF($I251="","",INDEX('Batches'!$I$1:$I$302,$I251))</f>
        <v/>
      </c>
      <c r="C251" s="8">
        <f>IF($I251="","",INDEX('Batches'!$A$1:$A$302,$I251))</f>
        <v/>
      </c>
      <c r="D251" s="8">
        <f>IF($I251="","",INDEX('Batches'!$B$1:$B$302,$I251))</f>
        <v/>
      </c>
      <c r="E251" s="8">
        <f>IF($I251="","",INDEX('Batches'!$C$1:$C$302,$I251))</f>
        <v/>
      </c>
      <c r="F251" s="8">
        <f>IF($I251="","",INDEX('Batches'!$G$1:$G$302,$I251))</f>
        <v/>
      </c>
      <c r="G251" s="16">
        <f>IF($I251="","",INDEX('Batches'!$H$1:$H$302,$I251))</f>
        <v/>
      </c>
      <c r="I251" s="16">
        <f>IFERROR(ROUND(MOD(SMALL('Batches'!$J$3:$J$302,247),1)*100000,0),"")</f>
        <v/>
      </c>
    </row>
    <row r="252">
      <c r="A252" s="18">
        <f>IF($I252="","",INDEX('Batches'!$D$1:$D$302,$I252))</f>
        <v/>
      </c>
      <c r="B252" s="16">
        <f>IF($I252="","",INDEX('Batches'!$I$1:$I$302,$I252))</f>
        <v/>
      </c>
      <c r="C252" s="8">
        <f>IF($I252="","",INDEX('Batches'!$A$1:$A$302,$I252))</f>
        <v/>
      </c>
      <c r="D252" s="8">
        <f>IF($I252="","",INDEX('Batches'!$B$1:$B$302,$I252))</f>
        <v/>
      </c>
      <c r="E252" s="8">
        <f>IF($I252="","",INDEX('Batches'!$C$1:$C$302,$I252))</f>
        <v/>
      </c>
      <c r="F252" s="8">
        <f>IF($I252="","",INDEX('Batches'!$G$1:$G$302,$I252))</f>
        <v/>
      </c>
      <c r="G252" s="16">
        <f>IF($I252="","",INDEX('Batches'!$H$1:$H$302,$I252))</f>
        <v/>
      </c>
      <c r="I252" s="16">
        <f>IFERROR(ROUND(MOD(SMALL('Batches'!$J$3:$J$302,248),1)*100000,0),"")</f>
        <v/>
      </c>
    </row>
    <row r="253">
      <c r="A253" s="18">
        <f>IF($I253="","",INDEX('Batches'!$D$1:$D$302,$I253))</f>
        <v/>
      </c>
      <c r="B253" s="16">
        <f>IF($I253="","",INDEX('Batches'!$I$1:$I$302,$I253))</f>
        <v/>
      </c>
      <c r="C253" s="8">
        <f>IF($I253="","",INDEX('Batches'!$A$1:$A$302,$I253))</f>
        <v/>
      </c>
      <c r="D253" s="8">
        <f>IF($I253="","",INDEX('Batches'!$B$1:$B$302,$I253))</f>
        <v/>
      </c>
      <c r="E253" s="8">
        <f>IF($I253="","",INDEX('Batches'!$C$1:$C$302,$I253))</f>
        <v/>
      </c>
      <c r="F253" s="8">
        <f>IF($I253="","",INDEX('Batches'!$G$1:$G$302,$I253))</f>
        <v/>
      </c>
      <c r="G253" s="16">
        <f>IF($I253="","",INDEX('Batches'!$H$1:$H$302,$I253))</f>
        <v/>
      </c>
      <c r="I253" s="16">
        <f>IFERROR(ROUND(MOD(SMALL('Batches'!$J$3:$J$302,249),1)*100000,0),"")</f>
        <v/>
      </c>
    </row>
    <row r="254">
      <c r="A254" s="18">
        <f>IF($I254="","",INDEX('Batches'!$D$1:$D$302,$I254))</f>
        <v/>
      </c>
      <c r="B254" s="16">
        <f>IF($I254="","",INDEX('Batches'!$I$1:$I$302,$I254))</f>
        <v/>
      </c>
      <c r="C254" s="8">
        <f>IF($I254="","",INDEX('Batches'!$A$1:$A$302,$I254))</f>
        <v/>
      </c>
      <c r="D254" s="8">
        <f>IF($I254="","",INDEX('Batches'!$B$1:$B$302,$I254))</f>
        <v/>
      </c>
      <c r="E254" s="8">
        <f>IF($I254="","",INDEX('Batches'!$C$1:$C$302,$I254))</f>
        <v/>
      </c>
      <c r="F254" s="8">
        <f>IF($I254="","",INDEX('Batches'!$G$1:$G$302,$I254))</f>
        <v/>
      </c>
      <c r="G254" s="16">
        <f>IF($I254="","",INDEX('Batches'!$H$1:$H$302,$I254))</f>
        <v/>
      </c>
      <c r="I254" s="16">
        <f>IFERROR(ROUND(MOD(SMALL('Batches'!$J$3:$J$302,250),1)*100000,0),"")</f>
        <v/>
      </c>
    </row>
    <row r="255">
      <c r="A255" s="18">
        <f>IF($I255="","",INDEX('Batches'!$D$1:$D$302,$I255))</f>
        <v/>
      </c>
      <c r="B255" s="16">
        <f>IF($I255="","",INDEX('Batches'!$I$1:$I$302,$I255))</f>
        <v/>
      </c>
      <c r="C255" s="8">
        <f>IF($I255="","",INDEX('Batches'!$A$1:$A$302,$I255))</f>
        <v/>
      </c>
      <c r="D255" s="8">
        <f>IF($I255="","",INDEX('Batches'!$B$1:$B$302,$I255))</f>
        <v/>
      </c>
      <c r="E255" s="8">
        <f>IF($I255="","",INDEX('Batches'!$C$1:$C$302,$I255))</f>
        <v/>
      </c>
      <c r="F255" s="8">
        <f>IF($I255="","",INDEX('Batches'!$G$1:$G$302,$I255))</f>
        <v/>
      </c>
      <c r="G255" s="16">
        <f>IF($I255="","",INDEX('Batches'!$H$1:$H$302,$I255))</f>
        <v/>
      </c>
      <c r="I255" s="16">
        <f>IFERROR(ROUND(MOD(SMALL('Batches'!$J$3:$J$302,251),1)*100000,0),"")</f>
        <v/>
      </c>
    </row>
    <row r="256">
      <c r="A256" s="18">
        <f>IF($I256="","",INDEX('Batches'!$D$1:$D$302,$I256))</f>
        <v/>
      </c>
      <c r="B256" s="16">
        <f>IF($I256="","",INDEX('Batches'!$I$1:$I$302,$I256))</f>
        <v/>
      </c>
      <c r="C256" s="8">
        <f>IF($I256="","",INDEX('Batches'!$A$1:$A$302,$I256))</f>
        <v/>
      </c>
      <c r="D256" s="8">
        <f>IF($I256="","",INDEX('Batches'!$B$1:$B$302,$I256))</f>
        <v/>
      </c>
      <c r="E256" s="8">
        <f>IF($I256="","",INDEX('Batches'!$C$1:$C$302,$I256))</f>
        <v/>
      </c>
      <c r="F256" s="8">
        <f>IF($I256="","",INDEX('Batches'!$G$1:$G$302,$I256))</f>
        <v/>
      </c>
      <c r="G256" s="16">
        <f>IF($I256="","",INDEX('Batches'!$H$1:$H$302,$I256))</f>
        <v/>
      </c>
      <c r="I256" s="16">
        <f>IFERROR(ROUND(MOD(SMALL('Batches'!$J$3:$J$302,252),1)*100000,0),"")</f>
        <v/>
      </c>
    </row>
    <row r="257">
      <c r="A257" s="18">
        <f>IF($I257="","",INDEX('Batches'!$D$1:$D$302,$I257))</f>
        <v/>
      </c>
      <c r="B257" s="16">
        <f>IF($I257="","",INDEX('Batches'!$I$1:$I$302,$I257))</f>
        <v/>
      </c>
      <c r="C257" s="8">
        <f>IF($I257="","",INDEX('Batches'!$A$1:$A$302,$I257))</f>
        <v/>
      </c>
      <c r="D257" s="8">
        <f>IF($I257="","",INDEX('Batches'!$B$1:$B$302,$I257))</f>
        <v/>
      </c>
      <c r="E257" s="8">
        <f>IF($I257="","",INDEX('Batches'!$C$1:$C$302,$I257))</f>
        <v/>
      </c>
      <c r="F257" s="8">
        <f>IF($I257="","",INDEX('Batches'!$G$1:$G$302,$I257))</f>
        <v/>
      </c>
      <c r="G257" s="16">
        <f>IF($I257="","",INDEX('Batches'!$H$1:$H$302,$I257))</f>
        <v/>
      </c>
      <c r="I257" s="16">
        <f>IFERROR(ROUND(MOD(SMALL('Batches'!$J$3:$J$302,253),1)*100000,0),"")</f>
        <v/>
      </c>
    </row>
    <row r="258">
      <c r="A258" s="18">
        <f>IF($I258="","",INDEX('Batches'!$D$1:$D$302,$I258))</f>
        <v/>
      </c>
      <c r="B258" s="16">
        <f>IF($I258="","",INDEX('Batches'!$I$1:$I$302,$I258))</f>
        <v/>
      </c>
      <c r="C258" s="8">
        <f>IF($I258="","",INDEX('Batches'!$A$1:$A$302,$I258))</f>
        <v/>
      </c>
      <c r="D258" s="8">
        <f>IF($I258="","",INDEX('Batches'!$B$1:$B$302,$I258))</f>
        <v/>
      </c>
      <c r="E258" s="8">
        <f>IF($I258="","",INDEX('Batches'!$C$1:$C$302,$I258))</f>
        <v/>
      </c>
      <c r="F258" s="8">
        <f>IF($I258="","",INDEX('Batches'!$G$1:$G$302,$I258))</f>
        <v/>
      </c>
      <c r="G258" s="16">
        <f>IF($I258="","",INDEX('Batches'!$H$1:$H$302,$I258))</f>
        <v/>
      </c>
      <c r="I258" s="16">
        <f>IFERROR(ROUND(MOD(SMALL('Batches'!$J$3:$J$302,254),1)*100000,0),"")</f>
        <v/>
      </c>
    </row>
    <row r="259">
      <c r="A259" s="18">
        <f>IF($I259="","",INDEX('Batches'!$D$1:$D$302,$I259))</f>
        <v/>
      </c>
      <c r="B259" s="16">
        <f>IF($I259="","",INDEX('Batches'!$I$1:$I$302,$I259))</f>
        <v/>
      </c>
      <c r="C259" s="8">
        <f>IF($I259="","",INDEX('Batches'!$A$1:$A$302,$I259))</f>
        <v/>
      </c>
      <c r="D259" s="8">
        <f>IF($I259="","",INDEX('Batches'!$B$1:$B$302,$I259))</f>
        <v/>
      </c>
      <c r="E259" s="8">
        <f>IF($I259="","",INDEX('Batches'!$C$1:$C$302,$I259))</f>
        <v/>
      </c>
      <c r="F259" s="8">
        <f>IF($I259="","",INDEX('Batches'!$G$1:$G$302,$I259))</f>
        <v/>
      </c>
      <c r="G259" s="16">
        <f>IF($I259="","",INDEX('Batches'!$H$1:$H$302,$I259))</f>
        <v/>
      </c>
      <c r="I259" s="16">
        <f>IFERROR(ROUND(MOD(SMALL('Batches'!$J$3:$J$302,255),1)*100000,0),"")</f>
        <v/>
      </c>
    </row>
    <row r="260">
      <c r="A260" s="18">
        <f>IF($I260="","",INDEX('Batches'!$D$1:$D$302,$I260))</f>
        <v/>
      </c>
      <c r="B260" s="16">
        <f>IF($I260="","",INDEX('Batches'!$I$1:$I$302,$I260))</f>
        <v/>
      </c>
      <c r="C260" s="8">
        <f>IF($I260="","",INDEX('Batches'!$A$1:$A$302,$I260))</f>
        <v/>
      </c>
      <c r="D260" s="8">
        <f>IF($I260="","",INDEX('Batches'!$B$1:$B$302,$I260))</f>
        <v/>
      </c>
      <c r="E260" s="8">
        <f>IF($I260="","",INDEX('Batches'!$C$1:$C$302,$I260))</f>
        <v/>
      </c>
      <c r="F260" s="8">
        <f>IF($I260="","",INDEX('Batches'!$G$1:$G$302,$I260))</f>
        <v/>
      </c>
      <c r="G260" s="16">
        <f>IF($I260="","",INDEX('Batches'!$H$1:$H$302,$I260))</f>
        <v/>
      </c>
      <c r="I260" s="16">
        <f>IFERROR(ROUND(MOD(SMALL('Batches'!$J$3:$J$302,256),1)*100000,0),"")</f>
        <v/>
      </c>
    </row>
    <row r="261">
      <c r="A261" s="18">
        <f>IF($I261="","",INDEX('Batches'!$D$1:$D$302,$I261))</f>
        <v/>
      </c>
      <c r="B261" s="16">
        <f>IF($I261="","",INDEX('Batches'!$I$1:$I$302,$I261))</f>
        <v/>
      </c>
      <c r="C261" s="8">
        <f>IF($I261="","",INDEX('Batches'!$A$1:$A$302,$I261))</f>
        <v/>
      </c>
      <c r="D261" s="8">
        <f>IF($I261="","",INDEX('Batches'!$B$1:$B$302,$I261))</f>
        <v/>
      </c>
      <c r="E261" s="8">
        <f>IF($I261="","",INDEX('Batches'!$C$1:$C$302,$I261))</f>
        <v/>
      </c>
      <c r="F261" s="8">
        <f>IF($I261="","",INDEX('Batches'!$G$1:$G$302,$I261))</f>
        <v/>
      </c>
      <c r="G261" s="16">
        <f>IF($I261="","",INDEX('Batches'!$H$1:$H$302,$I261))</f>
        <v/>
      </c>
      <c r="I261" s="16">
        <f>IFERROR(ROUND(MOD(SMALL('Batches'!$J$3:$J$302,257),1)*100000,0),"")</f>
        <v/>
      </c>
    </row>
    <row r="262">
      <c r="A262" s="18">
        <f>IF($I262="","",INDEX('Batches'!$D$1:$D$302,$I262))</f>
        <v/>
      </c>
      <c r="B262" s="16">
        <f>IF($I262="","",INDEX('Batches'!$I$1:$I$302,$I262))</f>
        <v/>
      </c>
      <c r="C262" s="8">
        <f>IF($I262="","",INDEX('Batches'!$A$1:$A$302,$I262))</f>
        <v/>
      </c>
      <c r="D262" s="8">
        <f>IF($I262="","",INDEX('Batches'!$B$1:$B$302,$I262))</f>
        <v/>
      </c>
      <c r="E262" s="8">
        <f>IF($I262="","",INDEX('Batches'!$C$1:$C$302,$I262))</f>
        <v/>
      </c>
      <c r="F262" s="8">
        <f>IF($I262="","",INDEX('Batches'!$G$1:$G$302,$I262))</f>
        <v/>
      </c>
      <c r="G262" s="16">
        <f>IF($I262="","",INDEX('Batches'!$H$1:$H$302,$I262))</f>
        <v/>
      </c>
      <c r="I262" s="16">
        <f>IFERROR(ROUND(MOD(SMALL('Batches'!$J$3:$J$302,258),1)*100000,0),"")</f>
        <v/>
      </c>
    </row>
    <row r="263">
      <c r="A263" s="18">
        <f>IF($I263="","",INDEX('Batches'!$D$1:$D$302,$I263))</f>
        <v/>
      </c>
      <c r="B263" s="16">
        <f>IF($I263="","",INDEX('Batches'!$I$1:$I$302,$I263))</f>
        <v/>
      </c>
      <c r="C263" s="8">
        <f>IF($I263="","",INDEX('Batches'!$A$1:$A$302,$I263))</f>
        <v/>
      </c>
      <c r="D263" s="8">
        <f>IF($I263="","",INDEX('Batches'!$B$1:$B$302,$I263))</f>
        <v/>
      </c>
      <c r="E263" s="8">
        <f>IF($I263="","",INDEX('Batches'!$C$1:$C$302,$I263))</f>
        <v/>
      </c>
      <c r="F263" s="8">
        <f>IF($I263="","",INDEX('Batches'!$G$1:$G$302,$I263))</f>
        <v/>
      </c>
      <c r="G263" s="16">
        <f>IF($I263="","",INDEX('Batches'!$H$1:$H$302,$I263))</f>
        <v/>
      </c>
      <c r="I263" s="16">
        <f>IFERROR(ROUND(MOD(SMALL('Batches'!$J$3:$J$302,259),1)*100000,0),"")</f>
        <v/>
      </c>
    </row>
    <row r="264">
      <c r="A264" s="18">
        <f>IF($I264="","",INDEX('Batches'!$D$1:$D$302,$I264))</f>
        <v/>
      </c>
      <c r="B264" s="16">
        <f>IF($I264="","",INDEX('Batches'!$I$1:$I$302,$I264))</f>
        <v/>
      </c>
      <c r="C264" s="8">
        <f>IF($I264="","",INDEX('Batches'!$A$1:$A$302,$I264))</f>
        <v/>
      </c>
      <c r="D264" s="8">
        <f>IF($I264="","",INDEX('Batches'!$B$1:$B$302,$I264))</f>
        <v/>
      </c>
      <c r="E264" s="8">
        <f>IF($I264="","",INDEX('Batches'!$C$1:$C$302,$I264))</f>
        <v/>
      </c>
      <c r="F264" s="8">
        <f>IF($I264="","",INDEX('Batches'!$G$1:$G$302,$I264))</f>
        <v/>
      </c>
      <c r="G264" s="16">
        <f>IF($I264="","",INDEX('Batches'!$H$1:$H$302,$I264))</f>
        <v/>
      </c>
      <c r="I264" s="16">
        <f>IFERROR(ROUND(MOD(SMALL('Batches'!$J$3:$J$302,260),1)*100000,0),"")</f>
        <v/>
      </c>
    </row>
    <row r="265">
      <c r="A265" s="18">
        <f>IF($I265="","",INDEX('Batches'!$D$1:$D$302,$I265))</f>
        <v/>
      </c>
      <c r="B265" s="16">
        <f>IF($I265="","",INDEX('Batches'!$I$1:$I$302,$I265))</f>
        <v/>
      </c>
      <c r="C265" s="8">
        <f>IF($I265="","",INDEX('Batches'!$A$1:$A$302,$I265))</f>
        <v/>
      </c>
      <c r="D265" s="8">
        <f>IF($I265="","",INDEX('Batches'!$B$1:$B$302,$I265))</f>
        <v/>
      </c>
      <c r="E265" s="8">
        <f>IF($I265="","",INDEX('Batches'!$C$1:$C$302,$I265))</f>
        <v/>
      </c>
      <c r="F265" s="8">
        <f>IF($I265="","",INDEX('Batches'!$G$1:$G$302,$I265))</f>
        <v/>
      </c>
      <c r="G265" s="16">
        <f>IF($I265="","",INDEX('Batches'!$H$1:$H$302,$I265))</f>
        <v/>
      </c>
      <c r="I265" s="16">
        <f>IFERROR(ROUND(MOD(SMALL('Batches'!$J$3:$J$302,261),1)*100000,0),"")</f>
        <v/>
      </c>
    </row>
    <row r="266">
      <c r="A266" s="18">
        <f>IF($I266="","",INDEX('Batches'!$D$1:$D$302,$I266))</f>
        <v/>
      </c>
      <c r="B266" s="16">
        <f>IF($I266="","",INDEX('Batches'!$I$1:$I$302,$I266))</f>
        <v/>
      </c>
      <c r="C266" s="8">
        <f>IF($I266="","",INDEX('Batches'!$A$1:$A$302,$I266))</f>
        <v/>
      </c>
      <c r="D266" s="8">
        <f>IF($I266="","",INDEX('Batches'!$B$1:$B$302,$I266))</f>
        <v/>
      </c>
      <c r="E266" s="8">
        <f>IF($I266="","",INDEX('Batches'!$C$1:$C$302,$I266))</f>
        <v/>
      </c>
      <c r="F266" s="8">
        <f>IF($I266="","",INDEX('Batches'!$G$1:$G$302,$I266))</f>
        <v/>
      </c>
      <c r="G266" s="16">
        <f>IF($I266="","",INDEX('Batches'!$H$1:$H$302,$I266))</f>
        <v/>
      </c>
      <c r="I266" s="16">
        <f>IFERROR(ROUND(MOD(SMALL('Batches'!$J$3:$J$302,262),1)*100000,0),"")</f>
        <v/>
      </c>
    </row>
    <row r="267">
      <c r="A267" s="18">
        <f>IF($I267="","",INDEX('Batches'!$D$1:$D$302,$I267))</f>
        <v/>
      </c>
      <c r="B267" s="16">
        <f>IF($I267="","",INDEX('Batches'!$I$1:$I$302,$I267))</f>
        <v/>
      </c>
      <c r="C267" s="8">
        <f>IF($I267="","",INDEX('Batches'!$A$1:$A$302,$I267))</f>
        <v/>
      </c>
      <c r="D267" s="8">
        <f>IF($I267="","",INDEX('Batches'!$B$1:$B$302,$I267))</f>
        <v/>
      </c>
      <c r="E267" s="8">
        <f>IF($I267="","",INDEX('Batches'!$C$1:$C$302,$I267))</f>
        <v/>
      </c>
      <c r="F267" s="8">
        <f>IF($I267="","",INDEX('Batches'!$G$1:$G$302,$I267))</f>
        <v/>
      </c>
      <c r="G267" s="16">
        <f>IF($I267="","",INDEX('Batches'!$H$1:$H$302,$I267))</f>
        <v/>
      </c>
      <c r="I267" s="16">
        <f>IFERROR(ROUND(MOD(SMALL('Batches'!$J$3:$J$302,263),1)*100000,0),"")</f>
        <v/>
      </c>
    </row>
    <row r="268">
      <c r="A268" s="18">
        <f>IF($I268="","",INDEX('Batches'!$D$1:$D$302,$I268))</f>
        <v/>
      </c>
      <c r="B268" s="16">
        <f>IF($I268="","",INDEX('Batches'!$I$1:$I$302,$I268))</f>
        <v/>
      </c>
      <c r="C268" s="8">
        <f>IF($I268="","",INDEX('Batches'!$A$1:$A$302,$I268))</f>
        <v/>
      </c>
      <c r="D268" s="8">
        <f>IF($I268="","",INDEX('Batches'!$B$1:$B$302,$I268))</f>
        <v/>
      </c>
      <c r="E268" s="8">
        <f>IF($I268="","",INDEX('Batches'!$C$1:$C$302,$I268))</f>
        <v/>
      </c>
      <c r="F268" s="8">
        <f>IF($I268="","",INDEX('Batches'!$G$1:$G$302,$I268))</f>
        <v/>
      </c>
      <c r="G268" s="16">
        <f>IF($I268="","",INDEX('Batches'!$H$1:$H$302,$I268))</f>
        <v/>
      </c>
      <c r="I268" s="16">
        <f>IFERROR(ROUND(MOD(SMALL('Batches'!$J$3:$J$302,264),1)*100000,0),"")</f>
        <v/>
      </c>
    </row>
    <row r="269">
      <c r="A269" s="18">
        <f>IF($I269="","",INDEX('Batches'!$D$1:$D$302,$I269))</f>
        <v/>
      </c>
      <c r="B269" s="16">
        <f>IF($I269="","",INDEX('Batches'!$I$1:$I$302,$I269))</f>
        <v/>
      </c>
      <c r="C269" s="8">
        <f>IF($I269="","",INDEX('Batches'!$A$1:$A$302,$I269))</f>
        <v/>
      </c>
      <c r="D269" s="8">
        <f>IF($I269="","",INDEX('Batches'!$B$1:$B$302,$I269))</f>
        <v/>
      </c>
      <c r="E269" s="8">
        <f>IF($I269="","",INDEX('Batches'!$C$1:$C$302,$I269))</f>
        <v/>
      </c>
      <c r="F269" s="8">
        <f>IF($I269="","",INDEX('Batches'!$G$1:$G$302,$I269))</f>
        <v/>
      </c>
      <c r="G269" s="16">
        <f>IF($I269="","",INDEX('Batches'!$H$1:$H$302,$I269))</f>
        <v/>
      </c>
      <c r="I269" s="16">
        <f>IFERROR(ROUND(MOD(SMALL('Batches'!$J$3:$J$302,265),1)*100000,0),"")</f>
        <v/>
      </c>
    </row>
    <row r="270">
      <c r="A270" s="18">
        <f>IF($I270="","",INDEX('Batches'!$D$1:$D$302,$I270))</f>
        <v/>
      </c>
      <c r="B270" s="16">
        <f>IF($I270="","",INDEX('Batches'!$I$1:$I$302,$I270))</f>
        <v/>
      </c>
      <c r="C270" s="8">
        <f>IF($I270="","",INDEX('Batches'!$A$1:$A$302,$I270))</f>
        <v/>
      </c>
      <c r="D270" s="8">
        <f>IF($I270="","",INDEX('Batches'!$B$1:$B$302,$I270))</f>
        <v/>
      </c>
      <c r="E270" s="8">
        <f>IF($I270="","",INDEX('Batches'!$C$1:$C$302,$I270))</f>
        <v/>
      </c>
      <c r="F270" s="8">
        <f>IF($I270="","",INDEX('Batches'!$G$1:$G$302,$I270))</f>
        <v/>
      </c>
      <c r="G270" s="16">
        <f>IF($I270="","",INDEX('Batches'!$H$1:$H$302,$I270))</f>
        <v/>
      </c>
      <c r="I270" s="16">
        <f>IFERROR(ROUND(MOD(SMALL('Batches'!$J$3:$J$302,266),1)*100000,0),"")</f>
        <v/>
      </c>
    </row>
    <row r="271">
      <c r="A271" s="18">
        <f>IF($I271="","",INDEX('Batches'!$D$1:$D$302,$I271))</f>
        <v/>
      </c>
      <c r="B271" s="16">
        <f>IF($I271="","",INDEX('Batches'!$I$1:$I$302,$I271))</f>
        <v/>
      </c>
      <c r="C271" s="8">
        <f>IF($I271="","",INDEX('Batches'!$A$1:$A$302,$I271))</f>
        <v/>
      </c>
      <c r="D271" s="8">
        <f>IF($I271="","",INDEX('Batches'!$B$1:$B$302,$I271))</f>
        <v/>
      </c>
      <c r="E271" s="8">
        <f>IF($I271="","",INDEX('Batches'!$C$1:$C$302,$I271))</f>
        <v/>
      </c>
      <c r="F271" s="8">
        <f>IF($I271="","",INDEX('Batches'!$G$1:$G$302,$I271))</f>
        <v/>
      </c>
      <c r="G271" s="16">
        <f>IF($I271="","",INDEX('Batches'!$H$1:$H$302,$I271))</f>
        <v/>
      </c>
      <c r="I271" s="16">
        <f>IFERROR(ROUND(MOD(SMALL('Batches'!$J$3:$J$302,267),1)*100000,0),"")</f>
        <v/>
      </c>
    </row>
    <row r="272">
      <c r="A272" s="18">
        <f>IF($I272="","",INDEX('Batches'!$D$1:$D$302,$I272))</f>
        <v/>
      </c>
      <c r="B272" s="16">
        <f>IF($I272="","",INDEX('Batches'!$I$1:$I$302,$I272))</f>
        <v/>
      </c>
      <c r="C272" s="8">
        <f>IF($I272="","",INDEX('Batches'!$A$1:$A$302,$I272))</f>
        <v/>
      </c>
      <c r="D272" s="8">
        <f>IF($I272="","",INDEX('Batches'!$B$1:$B$302,$I272))</f>
        <v/>
      </c>
      <c r="E272" s="8">
        <f>IF($I272="","",INDEX('Batches'!$C$1:$C$302,$I272))</f>
        <v/>
      </c>
      <c r="F272" s="8">
        <f>IF($I272="","",INDEX('Batches'!$G$1:$G$302,$I272))</f>
        <v/>
      </c>
      <c r="G272" s="16">
        <f>IF($I272="","",INDEX('Batches'!$H$1:$H$302,$I272))</f>
        <v/>
      </c>
      <c r="I272" s="16">
        <f>IFERROR(ROUND(MOD(SMALL('Batches'!$J$3:$J$302,268),1)*100000,0),"")</f>
        <v/>
      </c>
    </row>
    <row r="273">
      <c r="A273" s="18">
        <f>IF($I273="","",INDEX('Batches'!$D$1:$D$302,$I273))</f>
        <v/>
      </c>
      <c r="B273" s="16">
        <f>IF($I273="","",INDEX('Batches'!$I$1:$I$302,$I273))</f>
        <v/>
      </c>
      <c r="C273" s="8">
        <f>IF($I273="","",INDEX('Batches'!$A$1:$A$302,$I273))</f>
        <v/>
      </c>
      <c r="D273" s="8">
        <f>IF($I273="","",INDEX('Batches'!$B$1:$B$302,$I273))</f>
        <v/>
      </c>
      <c r="E273" s="8">
        <f>IF($I273="","",INDEX('Batches'!$C$1:$C$302,$I273))</f>
        <v/>
      </c>
      <c r="F273" s="8">
        <f>IF($I273="","",INDEX('Batches'!$G$1:$G$302,$I273))</f>
        <v/>
      </c>
      <c r="G273" s="16">
        <f>IF($I273="","",INDEX('Batches'!$H$1:$H$302,$I273))</f>
        <v/>
      </c>
      <c r="I273" s="16">
        <f>IFERROR(ROUND(MOD(SMALL('Batches'!$J$3:$J$302,269),1)*100000,0),"")</f>
        <v/>
      </c>
    </row>
    <row r="274">
      <c r="A274" s="18">
        <f>IF($I274="","",INDEX('Batches'!$D$1:$D$302,$I274))</f>
        <v/>
      </c>
      <c r="B274" s="16">
        <f>IF($I274="","",INDEX('Batches'!$I$1:$I$302,$I274))</f>
        <v/>
      </c>
      <c r="C274" s="8">
        <f>IF($I274="","",INDEX('Batches'!$A$1:$A$302,$I274))</f>
        <v/>
      </c>
      <c r="D274" s="8">
        <f>IF($I274="","",INDEX('Batches'!$B$1:$B$302,$I274))</f>
        <v/>
      </c>
      <c r="E274" s="8">
        <f>IF($I274="","",INDEX('Batches'!$C$1:$C$302,$I274))</f>
        <v/>
      </c>
      <c r="F274" s="8">
        <f>IF($I274="","",INDEX('Batches'!$G$1:$G$302,$I274))</f>
        <v/>
      </c>
      <c r="G274" s="16">
        <f>IF($I274="","",INDEX('Batches'!$H$1:$H$302,$I274))</f>
        <v/>
      </c>
      <c r="I274" s="16">
        <f>IFERROR(ROUND(MOD(SMALL('Batches'!$J$3:$J$302,270),1)*100000,0),"")</f>
        <v/>
      </c>
    </row>
    <row r="275">
      <c r="A275" s="18">
        <f>IF($I275="","",INDEX('Batches'!$D$1:$D$302,$I275))</f>
        <v/>
      </c>
      <c r="B275" s="16">
        <f>IF($I275="","",INDEX('Batches'!$I$1:$I$302,$I275))</f>
        <v/>
      </c>
      <c r="C275" s="8">
        <f>IF($I275="","",INDEX('Batches'!$A$1:$A$302,$I275))</f>
        <v/>
      </c>
      <c r="D275" s="8">
        <f>IF($I275="","",INDEX('Batches'!$B$1:$B$302,$I275))</f>
        <v/>
      </c>
      <c r="E275" s="8">
        <f>IF($I275="","",INDEX('Batches'!$C$1:$C$302,$I275))</f>
        <v/>
      </c>
      <c r="F275" s="8">
        <f>IF($I275="","",INDEX('Batches'!$G$1:$G$302,$I275))</f>
        <v/>
      </c>
      <c r="G275" s="16">
        <f>IF($I275="","",INDEX('Batches'!$H$1:$H$302,$I275))</f>
        <v/>
      </c>
      <c r="I275" s="16">
        <f>IFERROR(ROUND(MOD(SMALL('Batches'!$J$3:$J$302,271),1)*100000,0),"")</f>
        <v/>
      </c>
    </row>
    <row r="276">
      <c r="A276" s="18">
        <f>IF($I276="","",INDEX('Batches'!$D$1:$D$302,$I276))</f>
        <v/>
      </c>
      <c r="B276" s="16">
        <f>IF($I276="","",INDEX('Batches'!$I$1:$I$302,$I276))</f>
        <v/>
      </c>
      <c r="C276" s="8">
        <f>IF($I276="","",INDEX('Batches'!$A$1:$A$302,$I276))</f>
        <v/>
      </c>
      <c r="D276" s="8">
        <f>IF($I276="","",INDEX('Batches'!$B$1:$B$302,$I276))</f>
        <v/>
      </c>
      <c r="E276" s="8">
        <f>IF($I276="","",INDEX('Batches'!$C$1:$C$302,$I276))</f>
        <v/>
      </c>
      <c r="F276" s="8">
        <f>IF($I276="","",INDEX('Batches'!$G$1:$G$302,$I276))</f>
        <v/>
      </c>
      <c r="G276" s="16">
        <f>IF($I276="","",INDEX('Batches'!$H$1:$H$302,$I276))</f>
        <v/>
      </c>
      <c r="I276" s="16">
        <f>IFERROR(ROUND(MOD(SMALL('Batches'!$J$3:$J$302,272),1)*100000,0),"")</f>
        <v/>
      </c>
    </row>
    <row r="277">
      <c r="A277" s="18">
        <f>IF($I277="","",INDEX('Batches'!$D$1:$D$302,$I277))</f>
        <v/>
      </c>
      <c r="B277" s="16">
        <f>IF($I277="","",INDEX('Batches'!$I$1:$I$302,$I277))</f>
        <v/>
      </c>
      <c r="C277" s="8">
        <f>IF($I277="","",INDEX('Batches'!$A$1:$A$302,$I277))</f>
        <v/>
      </c>
      <c r="D277" s="8">
        <f>IF($I277="","",INDEX('Batches'!$B$1:$B$302,$I277))</f>
        <v/>
      </c>
      <c r="E277" s="8">
        <f>IF($I277="","",INDEX('Batches'!$C$1:$C$302,$I277))</f>
        <v/>
      </c>
      <c r="F277" s="8">
        <f>IF($I277="","",INDEX('Batches'!$G$1:$G$302,$I277))</f>
        <v/>
      </c>
      <c r="G277" s="16">
        <f>IF($I277="","",INDEX('Batches'!$H$1:$H$302,$I277))</f>
        <v/>
      </c>
      <c r="I277" s="16">
        <f>IFERROR(ROUND(MOD(SMALL('Batches'!$J$3:$J$302,273),1)*100000,0),"")</f>
        <v/>
      </c>
    </row>
    <row r="278">
      <c r="A278" s="18">
        <f>IF($I278="","",INDEX('Batches'!$D$1:$D$302,$I278))</f>
        <v/>
      </c>
      <c r="B278" s="16">
        <f>IF($I278="","",INDEX('Batches'!$I$1:$I$302,$I278))</f>
        <v/>
      </c>
      <c r="C278" s="8">
        <f>IF($I278="","",INDEX('Batches'!$A$1:$A$302,$I278))</f>
        <v/>
      </c>
      <c r="D278" s="8">
        <f>IF($I278="","",INDEX('Batches'!$B$1:$B$302,$I278))</f>
        <v/>
      </c>
      <c r="E278" s="8">
        <f>IF($I278="","",INDEX('Batches'!$C$1:$C$302,$I278))</f>
        <v/>
      </c>
      <c r="F278" s="8">
        <f>IF($I278="","",INDEX('Batches'!$G$1:$G$302,$I278))</f>
        <v/>
      </c>
      <c r="G278" s="16">
        <f>IF($I278="","",INDEX('Batches'!$H$1:$H$302,$I278))</f>
        <v/>
      </c>
      <c r="I278" s="16">
        <f>IFERROR(ROUND(MOD(SMALL('Batches'!$J$3:$J$302,274),1)*100000,0),"")</f>
        <v/>
      </c>
    </row>
    <row r="279">
      <c r="A279" s="18">
        <f>IF($I279="","",INDEX('Batches'!$D$1:$D$302,$I279))</f>
        <v/>
      </c>
      <c r="B279" s="16">
        <f>IF($I279="","",INDEX('Batches'!$I$1:$I$302,$I279))</f>
        <v/>
      </c>
      <c r="C279" s="8">
        <f>IF($I279="","",INDEX('Batches'!$A$1:$A$302,$I279))</f>
        <v/>
      </c>
      <c r="D279" s="8">
        <f>IF($I279="","",INDEX('Batches'!$B$1:$B$302,$I279))</f>
        <v/>
      </c>
      <c r="E279" s="8">
        <f>IF($I279="","",INDEX('Batches'!$C$1:$C$302,$I279))</f>
        <v/>
      </c>
      <c r="F279" s="8">
        <f>IF($I279="","",INDEX('Batches'!$G$1:$G$302,$I279))</f>
        <v/>
      </c>
      <c r="G279" s="16">
        <f>IF($I279="","",INDEX('Batches'!$H$1:$H$302,$I279))</f>
        <v/>
      </c>
      <c r="I279" s="16">
        <f>IFERROR(ROUND(MOD(SMALL('Batches'!$J$3:$J$302,275),1)*100000,0),"")</f>
        <v/>
      </c>
    </row>
    <row r="280">
      <c r="A280" s="18">
        <f>IF($I280="","",INDEX('Batches'!$D$1:$D$302,$I280))</f>
        <v/>
      </c>
      <c r="B280" s="16">
        <f>IF($I280="","",INDEX('Batches'!$I$1:$I$302,$I280))</f>
        <v/>
      </c>
      <c r="C280" s="8">
        <f>IF($I280="","",INDEX('Batches'!$A$1:$A$302,$I280))</f>
        <v/>
      </c>
      <c r="D280" s="8">
        <f>IF($I280="","",INDEX('Batches'!$B$1:$B$302,$I280))</f>
        <v/>
      </c>
      <c r="E280" s="8">
        <f>IF($I280="","",INDEX('Batches'!$C$1:$C$302,$I280))</f>
        <v/>
      </c>
      <c r="F280" s="8">
        <f>IF($I280="","",INDEX('Batches'!$G$1:$G$302,$I280))</f>
        <v/>
      </c>
      <c r="G280" s="16">
        <f>IF($I280="","",INDEX('Batches'!$H$1:$H$302,$I280))</f>
        <v/>
      </c>
      <c r="I280" s="16">
        <f>IFERROR(ROUND(MOD(SMALL('Batches'!$J$3:$J$302,276),1)*100000,0),"")</f>
        <v/>
      </c>
    </row>
    <row r="281">
      <c r="A281" s="18">
        <f>IF($I281="","",INDEX('Batches'!$D$1:$D$302,$I281))</f>
        <v/>
      </c>
      <c r="B281" s="16">
        <f>IF($I281="","",INDEX('Batches'!$I$1:$I$302,$I281))</f>
        <v/>
      </c>
      <c r="C281" s="8">
        <f>IF($I281="","",INDEX('Batches'!$A$1:$A$302,$I281))</f>
        <v/>
      </c>
      <c r="D281" s="8">
        <f>IF($I281="","",INDEX('Batches'!$B$1:$B$302,$I281))</f>
        <v/>
      </c>
      <c r="E281" s="8">
        <f>IF($I281="","",INDEX('Batches'!$C$1:$C$302,$I281))</f>
        <v/>
      </c>
      <c r="F281" s="8">
        <f>IF($I281="","",INDEX('Batches'!$G$1:$G$302,$I281))</f>
        <v/>
      </c>
      <c r="G281" s="16">
        <f>IF($I281="","",INDEX('Batches'!$H$1:$H$302,$I281))</f>
        <v/>
      </c>
      <c r="I281" s="16">
        <f>IFERROR(ROUND(MOD(SMALL('Batches'!$J$3:$J$302,277),1)*100000,0),"")</f>
        <v/>
      </c>
    </row>
    <row r="282">
      <c r="A282" s="18">
        <f>IF($I282="","",INDEX('Batches'!$D$1:$D$302,$I282))</f>
        <v/>
      </c>
      <c r="B282" s="16">
        <f>IF($I282="","",INDEX('Batches'!$I$1:$I$302,$I282))</f>
        <v/>
      </c>
      <c r="C282" s="8">
        <f>IF($I282="","",INDEX('Batches'!$A$1:$A$302,$I282))</f>
        <v/>
      </c>
      <c r="D282" s="8">
        <f>IF($I282="","",INDEX('Batches'!$B$1:$B$302,$I282))</f>
        <v/>
      </c>
      <c r="E282" s="8">
        <f>IF($I282="","",INDEX('Batches'!$C$1:$C$302,$I282))</f>
        <v/>
      </c>
      <c r="F282" s="8">
        <f>IF($I282="","",INDEX('Batches'!$G$1:$G$302,$I282))</f>
        <v/>
      </c>
      <c r="G282" s="16">
        <f>IF($I282="","",INDEX('Batches'!$H$1:$H$302,$I282))</f>
        <v/>
      </c>
      <c r="I282" s="16">
        <f>IFERROR(ROUND(MOD(SMALL('Batches'!$J$3:$J$302,278),1)*100000,0),"")</f>
        <v/>
      </c>
    </row>
    <row r="283">
      <c r="A283" s="18">
        <f>IF($I283="","",INDEX('Batches'!$D$1:$D$302,$I283))</f>
        <v/>
      </c>
      <c r="B283" s="16">
        <f>IF($I283="","",INDEX('Batches'!$I$1:$I$302,$I283))</f>
        <v/>
      </c>
      <c r="C283" s="8">
        <f>IF($I283="","",INDEX('Batches'!$A$1:$A$302,$I283))</f>
        <v/>
      </c>
      <c r="D283" s="8">
        <f>IF($I283="","",INDEX('Batches'!$B$1:$B$302,$I283))</f>
        <v/>
      </c>
      <c r="E283" s="8">
        <f>IF($I283="","",INDEX('Batches'!$C$1:$C$302,$I283))</f>
        <v/>
      </c>
      <c r="F283" s="8">
        <f>IF($I283="","",INDEX('Batches'!$G$1:$G$302,$I283))</f>
        <v/>
      </c>
      <c r="G283" s="16">
        <f>IF($I283="","",INDEX('Batches'!$H$1:$H$302,$I283))</f>
        <v/>
      </c>
      <c r="I283" s="16">
        <f>IFERROR(ROUND(MOD(SMALL('Batches'!$J$3:$J$302,279),1)*100000,0),"")</f>
        <v/>
      </c>
    </row>
    <row r="284">
      <c r="A284" s="18">
        <f>IF($I284="","",INDEX('Batches'!$D$1:$D$302,$I284))</f>
        <v/>
      </c>
      <c r="B284" s="16">
        <f>IF($I284="","",INDEX('Batches'!$I$1:$I$302,$I284))</f>
        <v/>
      </c>
      <c r="C284" s="8">
        <f>IF($I284="","",INDEX('Batches'!$A$1:$A$302,$I284))</f>
        <v/>
      </c>
      <c r="D284" s="8">
        <f>IF($I284="","",INDEX('Batches'!$B$1:$B$302,$I284))</f>
        <v/>
      </c>
      <c r="E284" s="8">
        <f>IF($I284="","",INDEX('Batches'!$C$1:$C$302,$I284))</f>
        <v/>
      </c>
      <c r="F284" s="8">
        <f>IF($I284="","",INDEX('Batches'!$G$1:$G$302,$I284))</f>
        <v/>
      </c>
      <c r="G284" s="16">
        <f>IF($I284="","",INDEX('Batches'!$H$1:$H$302,$I284))</f>
        <v/>
      </c>
      <c r="I284" s="16">
        <f>IFERROR(ROUND(MOD(SMALL('Batches'!$J$3:$J$302,280),1)*100000,0),"")</f>
        <v/>
      </c>
    </row>
    <row r="285">
      <c r="A285" s="18">
        <f>IF($I285="","",INDEX('Batches'!$D$1:$D$302,$I285))</f>
        <v/>
      </c>
      <c r="B285" s="16">
        <f>IF($I285="","",INDEX('Batches'!$I$1:$I$302,$I285))</f>
        <v/>
      </c>
      <c r="C285" s="8">
        <f>IF($I285="","",INDEX('Batches'!$A$1:$A$302,$I285))</f>
        <v/>
      </c>
      <c r="D285" s="8">
        <f>IF($I285="","",INDEX('Batches'!$B$1:$B$302,$I285))</f>
        <v/>
      </c>
      <c r="E285" s="8">
        <f>IF($I285="","",INDEX('Batches'!$C$1:$C$302,$I285))</f>
        <v/>
      </c>
      <c r="F285" s="8">
        <f>IF($I285="","",INDEX('Batches'!$G$1:$G$302,$I285))</f>
        <v/>
      </c>
      <c r="G285" s="16">
        <f>IF($I285="","",INDEX('Batches'!$H$1:$H$302,$I285))</f>
        <v/>
      </c>
      <c r="I285" s="16">
        <f>IFERROR(ROUND(MOD(SMALL('Batches'!$J$3:$J$302,281),1)*100000,0),"")</f>
        <v/>
      </c>
    </row>
    <row r="286">
      <c r="A286" s="18">
        <f>IF($I286="","",INDEX('Batches'!$D$1:$D$302,$I286))</f>
        <v/>
      </c>
      <c r="B286" s="16">
        <f>IF($I286="","",INDEX('Batches'!$I$1:$I$302,$I286))</f>
        <v/>
      </c>
      <c r="C286" s="8">
        <f>IF($I286="","",INDEX('Batches'!$A$1:$A$302,$I286))</f>
        <v/>
      </c>
      <c r="D286" s="8">
        <f>IF($I286="","",INDEX('Batches'!$B$1:$B$302,$I286))</f>
        <v/>
      </c>
      <c r="E286" s="8">
        <f>IF($I286="","",INDEX('Batches'!$C$1:$C$302,$I286))</f>
        <v/>
      </c>
      <c r="F286" s="8">
        <f>IF($I286="","",INDEX('Batches'!$G$1:$G$302,$I286))</f>
        <v/>
      </c>
      <c r="G286" s="16">
        <f>IF($I286="","",INDEX('Batches'!$H$1:$H$302,$I286))</f>
        <v/>
      </c>
      <c r="I286" s="16">
        <f>IFERROR(ROUND(MOD(SMALL('Batches'!$J$3:$J$302,282),1)*100000,0),"")</f>
        <v/>
      </c>
    </row>
    <row r="287">
      <c r="A287" s="18">
        <f>IF($I287="","",INDEX('Batches'!$D$1:$D$302,$I287))</f>
        <v/>
      </c>
      <c r="B287" s="16">
        <f>IF($I287="","",INDEX('Batches'!$I$1:$I$302,$I287))</f>
        <v/>
      </c>
      <c r="C287" s="8">
        <f>IF($I287="","",INDEX('Batches'!$A$1:$A$302,$I287))</f>
        <v/>
      </c>
      <c r="D287" s="8">
        <f>IF($I287="","",INDEX('Batches'!$B$1:$B$302,$I287))</f>
        <v/>
      </c>
      <c r="E287" s="8">
        <f>IF($I287="","",INDEX('Batches'!$C$1:$C$302,$I287))</f>
        <v/>
      </c>
      <c r="F287" s="8">
        <f>IF($I287="","",INDEX('Batches'!$G$1:$G$302,$I287))</f>
        <v/>
      </c>
      <c r="G287" s="16">
        <f>IF($I287="","",INDEX('Batches'!$H$1:$H$302,$I287))</f>
        <v/>
      </c>
      <c r="I287" s="16">
        <f>IFERROR(ROUND(MOD(SMALL('Batches'!$J$3:$J$302,283),1)*100000,0),"")</f>
        <v/>
      </c>
    </row>
    <row r="288">
      <c r="A288" s="18">
        <f>IF($I288="","",INDEX('Batches'!$D$1:$D$302,$I288))</f>
        <v/>
      </c>
      <c r="B288" s="16">
        <f>IF($I288="","",INDEX('Batches'!$I$1:$I$302,$I288))</f>
        <v/>
      </c>
      <c r="C288" s="8">
        <f>IF($I288="","",INDEX('Batches'!$A$1:$A$302,$I288))</f>
        <v/>
      </c>
      <c r="D288" s="8">
        <f>IF($I288="","",INDEX('Batches'!$B$1:$B$302,$I288))</f>
        <v/>
      </c>
      <c r="E288" s="8">
        <f>IF($I288="","",INDEX('Batches'!$C$1:$C$302,$I288))</f>
        <v/>
      </c>
      <c r="F288" s="8">
        <f>IF($I288="","",INDEX('Batches'!$G$1:$G$302,$I288))</f>
        <v/>
      </c>
      <c r="G288" s="16">
        <f>IF($I288="","",INDEX('Batches'!$H$1:$H$302,$I288))</f>
        <v/>
      </c>
      <c r="I288" s="16">
        <f>IFERROR(ROUND(MOD(SMALL('Batches'!$J$3:$J$302,284),1)*100000,0),"")</f>
        <v/>
      </c>
    </row>
    <row r="289">
      <c r="A289" s="18">
        <f>IF($I289="","",INDEX('Batches'!$D$1:$D$302,$I289))</f>
        <v/>
      </c>
      <c r="B289" s="16">
        <f>IF($I289="","",INDEX('Batches'!$I$1:$I$302,$I289))</f>
        <v/>
      </c>
      <c r="C289" s="8">
        <f>IF($I289="","",INDEX('Batches'!$A$1:$A$302,$I289))</f>
        <v/>
      </c>
      <c r="D289" s="8">
        <f>IF($I289="","",INDEX('Batches'!$B$1:$B$302,$I289))</f>
        <v/>
      </c>
      <c r="E289" s="8">
        <f>IF($I289="","",INDEX('Batches'!$C$1:$C$302,$I289))</f>
        <v/>
      </c>
      <c r="F289" s="8">
        <f>IF($I289="","",INDEX('Batches'!$G$1:$G$302,$I289))</f>
        <v/>
      </c>
      <c r="G289" s="16">
        <f>IF($I289="","",INDEX('Batches'!$H$1:$H$302,$I289))</f>
        <v/>
      </c>
      <c r="I289" s="16">
        <f>IFERROR(ROUND(MOD(SMALL('Batches'!$J$3:$J$302,285),1)*100000,0),"")</f>
        <v/>
      </c>
    </row>
    <row r="290">
      <c r="A290" s="18">
        <f>IF($I290="","",INDEX('Batches'!$D$1:$D$302,$I290))</f>
        <v/>
      </c>
      <c r="B290" s="16">
        <f>IF($I290="","",INDEX('Batches'!$I$1:$I$302,$I290))</f>
        <v/>
      </c>
      <c r="C290" s="8">
        <f>IF($I290="","",INDEX('Batches'!$A$1:$A$302,$I290))</f>
        <v/>
      </c>
      <c r="D290" s="8">
        <f>IF($I290="","",INDEX('Batches'!$B$1:$B$302,$I290))</f>
        <v/>
      </c>
      <c r="E290" s="8">
        <f>IF($I290="","",INDEX('Batches'!$C$1:$C$302,$I290))</f>
        <v/>
      </c>
      <c r="F290" s="8">
        <f>IF($I290="","",INDEX('Batches'!$G$1:$G$302,$I290))</f>
        <v/>
      </c>
      <c r="G290" s="16">
        <f>IF($I290="","",INDEX('Batches'!$H$1:$H$302,$I290))</f>
        <v/>
      </c>
      <c r="I290" s="16">
        <f>IFERROR(ROUND(MOD(SMALL('Batches'!$J$3:$J$302,286),1)*100000,0),"")</f>
        <v/>
      </c>
    </row>
    <row r="291">
      <c r="A291" s="18">
        <f>IF($I291="","",INDEX('Batches'!$D$1:$D$302,$I291))</f>
        <v/>
      </c>
      <c r="B291" s="16">
        <f>IF($I291="","",INDEX('Batches'!$I$1:$I$302,$I291))</f>
        <v/>
      </c>
      <c r="C291" s="8">
        <f>IF($I291="","",INDEX('Batches'!$A$1:$A$302,$I291))</f>
        <v/>
      </c>
      <c r="D291" s="8">
        <f>IF($I291="","",INDEX('Batches'!$B$1:$B$302,$I291))</f>
        <v/>
      </c>
      <c r="E291" s="8">
        <f>IF($I291="","",INDEX('Batches'!$C$1:$C$302,$I291))</f>
        <v/>
      </c>
      <c r="F291" s="8">
        <f>IF($I291="","",INDEX('Batches'!$G$1:$G$302,$I291))</f>
        <v/>
      </c>
      <c r="G291" s="16">
        <f>IF($I291="","",INDEX('Batches'!$H$1:$H$302,$I291))</f>
        <v/>
      </c>
      <c r="I291" s="16">
        <f>IFERROR(ROUND(MOD(SMALL('Batches'!$J$3:$J$302,287),1)*100000,0),"")</f>
        <v/>
      </c>
    </row>
    <row r="292">
      <c r="A292" s="18">
        <f>IF($I292="","",INDEX('Batches'!$D$1:$D$302,$I292))</f>
        <v/>
      </c>
      <c r="B292" s="16">
        <f>IF($I292="","",INDEX('Batches'!$I$1:$I$302,$I292))</f>
        <v/>
      </c>
      <c r="C292" s="8">
        <f>IF($I292="","",INDEX('Batches'!$A$1:$A$302,$I292))</f>
        <v/>
      </c>
      <c r="D292" s="8">
        <f>IF($I292="","",INDEX('Batches'!$B$1:$B$302,$I292))</f>
        <v/>
      </c>
      <c r="E292" s="8">
        <f>IF($I292="","",INDEX('Batches'!$C$1:$C$302,$I292))</f>
        <v/>
      </c>
      <c r="F292" s="8">
        <f>IF($I292="","",INDEX('Batches'!$G$1:$G$302,$I292))</f>
        <v/>
      </c>
      <c r="G292" s="16">
        <f>IF($I292="","",INDEX('Batches'!$H$1:$H$302,$I292))</f>
        <v/>
      </c>
      <c r="I292" s="16">
        <f>IFERROR(ROUND(MOD(SMALL('Batches'!$J$3:$J$302,288),1)*100000,0),"")</f>
        <v/>
      </c>
    </row>
    <row r="293">
      <c r="A293" s="18">
        <f>IF($I293="","",INDEX('Batches'!$D$1:$D$302,$I293))</f>
        <v/>
      </c>
      <c r="B293" s="16">
        <f>IF($I293="","",INDEX('Batches'!$I$1:$I$302,$I293))</f>
        <v/>
      </c>
      <c r="C293" s="8">
        <f>IF($I293="","",INDEX('Batches'!$A$1:$A$302,$I293))</f>
        <v/>
      </c>
      <c r="D293" s="8">
        <f>IF($I293="","",INDEX('Batches'!$B$1:$B$302,$I293))</f>
        <v/>
      </c>
      <c r="E293" s="8">
        <f>IF($I293="","",INDEX('Batches'!$C$1:$C$302,$I293))</f>
        <v/>
      </c>
      <c r="F293" s="8">
        <f>IF($I293="","",INDEX('Batches'!$G$1:$G$302,$I293))</f>
        <v/>
      </c>
      <c r="G293" s="16">
        <f>IF($I293="","",INDEX('Batches'!$H$1:$H$302,$I293))</f>
        <v/>
      </c>
      <c r="I293" s="16">
        <f>IFERROR(ROUND(MOD(SMALL('Batches'!$J$3:$J$302,289),1)*100000,0),"")</f>
        <v/>
      </c>
    </row>
    <row r="294">
      <c r="A294" s="18">
        <f>IF($I294="","",INDEX('Batches'!$D$1:$D$302,$I294))</f>
        <v/>
      </c>
      <c r="B294" s="16">
        <f>IF($I294="","",INDEX('Batches'!$I$1:$I$302,$I294))</f>
        <v/>
      </c>
      <c r="C294" s="8">
        <f>IF($I294="","",INDEX('Batches'!$A$1:$A$302,$I294))</f>
        <v/>
      </c>
      <c r="D294" s="8">
        <f>IF($I294="","",INDEX('Batches'!$B$1:$B$302,$I294))</f>
        <v/>
      </c>
      <c r="E294" s="8">
        <f>IF($I294="","",INDEX('Batches'!$C$1:$C$302,$I294))</f>
        <v/>
      </c>
      <c r="F294" s="8">
        <f>IF($I294="","",INDEX('Batches'!$G$1:$G$302,$I294))</f>
        <v/>
      </c>
      <c r="G294" s="16">
        <f>IF($I294="","",INDEX('Batches'!$H$1:$H$302,$I294))</f>
        <v/>
      </c>
      <c r="I294" s="16">
        <f>IFERROR(ROUND(MOD(SMALL('Batches'!$J$3:$J$302,290),1)*100000,0),"")</f>
        <v/>
      </c>
    </row>
    <row r="295">
      <c r="A295" s="18">
        <f>IF($I295="","",INDEX('Batches'!$D$1:$D$302,$I295))</f>
        <v/>
      </c>
      <c r="B295" s="16">
        <f>IF($I295="","",INDEX('Batches'!$I$1:$I$302,$I295))</f>
        <v/>
      </c>
      <c r="C295" s="8">
        <f>IF($I295="","",INDEX('Batches'!$A$1:$A$302,$I295))</f>
        <v/>
      </c>
      <c r="D295" s="8">
        <f>IF($I295="","",INDEX('Batches'!$B$1:$B$302,$I295))</f>
        <v/>
      </c>
      <c r="E295" s="8">
        <f>IF($I295="","",INDEX('Batches'!$C$1:$C$302,$I295))</f>
        <v/>
      </c>
      <c r="F295" s="8">
        <f>IF($I295="","",INDEX('Batches'!$G$1:$G$302,$I295))</f>
        <v/>
      </c>
      <c r="G295" s="16">
        <f>IF($I295="","",INDEX('Batches'!$H$1:$H$302,$I295))</f>
        <v/>
      </c>
      <c r="I295" s="16">
        <f>IFERROR(ROUND(MOD(SMALL('Batches'!$J$3:$J$302,291),1)*100000,0),"")</f>
        <v/>
      </c>
    </row>
    <row r="296">
      <c r="A296" s="18">
        <f>IF($I296="","",INDEX('Batches'!$D$1:$D$302,$I296))</f>
        <v/>
      </c>
      <c r="B296" s="16">
        <f>IF($I296="","",INDEX('Batches'!$I$1:$I$302,$I296))</f>
        <v/>
      </c>
      <c r="C296" s="8">
        <f>IF($I296="","",INDEX('Batches'!$A$1:$A$302,$I296))</f>
        <v/>
      </c>
      <c r="D296" s="8">
        <f>IF($I296="","",INDEX('Batches'!$B$1:$B$302,$I296))</f>
        <v/>
      </c>
      <c r="E296" s="8">
        <f>IF($I296="","",INDEX('Batches'!$C$1:$C$302,$I296))</f>
        <v/>
      </c>
      <c r="F296" s="8">
        <f>IF($I296="","",INDEX('Batches'!$G$1:$G$302,$I296))</f>
        <v/>
      </c>
      <c r="G296" s="16">
        <f>IF($I296="","",INDEX('Batches'!$H$1:$H$302,$I296))</f>
        <v/>
      </c>
      <c r="I296" s="16">
        <f>IFERROR(ROUND(MOD(SMALL('Batches'!$J$3:$J$302,292),1)*100000,0),"")</f>
        <v/>
      </c>
    </row>
    <row r="297">
      <c r="A297" s="18">
        <f>IF($I297="","",INDEX('Batches'!$D$1:$D$302,$I297))</f>
        <v/>
      </c>
      <c r="B297" s="16">
        <f>IF($I297="","",INDEX('Batches'!$I$1:$I$302,$I297))</f>
        <v/>
      </c>
      <c r="C297" s="8">
        <f>IF($I297="","",INDEX('Batches'!$A$1:$A$302,$I297))</f>
        <v/>
      </c>
      <c r="D297" s="8">
        <f>IF($I297="","",INDEX('Batches'!$B$1:$B$302,$I297))</f>
        <v/>
      </c>
      <c r="E297" s="8">
        <f>IF($I297="","",INDEX('Batches'!$C$1:$C$302,$I297))</f>
        <v/>
      </c>
      <c r="F297" s="8">
        <f>IF($I297="","",INDEX('Batches'!$G$1:$G$302,$I297))</f>
        <v/>
      </c>
      <c r="G297" s="16">
        <f>IF($I297="","",INDEX('Batches'!$H$1:$H$302,$I297))</f>
        <v/>
      </c>
      <c r="I297" s="16">
        <f>IFERROR(ROUND(MOD(SMALL('Batches'!$J$3:$J$302,293),1)*100000,0),"")</f>
        <v/>
      </c>
    </row>
    <row r="298">
      <c r="A298" s="18">
        <f>IF($I298="","",INDEX('Batches'!$D$1:$D$302,$I298))</f>
        <v/>
      </c>
      <c r="B298" s="16">
        <f>IF($I298="","",INDEX('Batches'!$I$1:$I$302,$I298))</f>
        <v/>
      </c>
      <c r="C298" s="8">
        <f>IF($I298="","",INDEX('Batches'!$A$1:$A$302,$I298))</f>
        <v/>
      </c>
      <c r="D298" s="8">
        <f>IF($I298="","",INDEX('Batches'!$B$1:$B$302,$I298))</f>
        <v/>
      </c>
      <c r="E298" s="8">
        <f>IF($I298="","",INDEX('Batches'!$C$1:$C$302,$I298))</f>
        <v/>
      </c>
      <c r="F298" s="8">
        <f>IF($I298="","",INDEX('Batches'!$G$1:$G$302,$I298))</f>
        <v/>
      </c>
      <c r="G298" s="16">
        <f>IF($I298="","",INDEX('Batches'!$H$1:$H$302,$I298))</f>
        <v/>
      </c>
      <c r="I298" s="16">
        <f>IFERROR(ROUND(MOD(SMALL('Batches'!$J$3:$J$302,294),1)*100000,0),"")</f>
        <v/>
      </c>
    </row>
    <row r="299">
      <c r="A299" s="18">
        <f>IF($I299="","",INDEX('Batches'!$D$1:$D$302,$I299))</f>
        <v/>
      </c>
      <c r="B299" s="16">
        <f>IF($I299="","",INDEX('Batches'!$I$1:$I$302,$I299))</f>
        <v/>
      </c>
      <c r="C299" s="8">
        <f>IF($I299="","",INDEX('Batches'!$A$1:$A$302,$I299))</f>
        <v/>
      </c>
      <c r="D299" s="8">
        <f>IF($I299="","",INDEX('Batches'!$B$1:$B$302,$I299))</f>
        <v/>
      </c>
      <c r="E299" s="8">
        <f>IF($I299="","",INDEX('Batches'!$C$1:$C$302,$I299))</f>
        <v/>
      </c>
      <c r="F299" s="8">
        <f>IF($I299="","",INDEX('Batches'!$G$1:$G$302,$I299))</f>
        <v/>
      </c>
      <c r="G299" s="16">
        <f>IF($I299="","",INDEX('Batches'!$H$1:$H$302,$I299))</f>
        <v/>
      </c>
      <c r="I299" s="16">
        <f>IFERROR(ROUND(MOD(SMALL('Batches'!$J$3:$J$302,295),1)*100000,0),"")</f>
        <v/>
      </c>
    </row>
    <row r="300">
      <c r="A300" s="18">
        <f>IF($I300="","",INDEX('Batches'!$D$1:$D$302,$I300))</f>
        <v/>
      </c>
      <c r="B300" s="16">
        <f>IF($I300="","",INDEX('Batches'!$I$1:$I$302,$I300))</f>
        <v/>
      </c>
      <c r="C300" s="8">
        <f>IF($I300="","",INDEX('Batches'!$A$1:$A$302,$I300))</f>
        <v/>
      </c>
      <c r="D300" s="8">
        <f>IF($I300="","",INDEX('Batches'!$B$1:$B$302,$I300))</f>
        <v/>
      </c>
      <c r="E300" s="8">
        <f>IF($I300="","",INDEX('Batches'!$C$1:$C$302,$I300))</f>
        <v/>
      </c>
      <c r="F300" s="8">
        <f>IF($I300="","",INDEX('Batches'!$G$1:$G$302,$I300))</f>
        <v/>
      </c>
      <c r="G300" s="16">
        <f>IF($I300="","",INDEX('Batches'!$H$1:$H$302,$I300))</f>
        <v/>
      </c>
      <c r="I300" s="16">
        <f>IFERROR(ROUND(MOD(SMALL('Batches'!$J$3:$J$302,296),1)*100000,0),"")</f>
        <v/>
      </c>
    </row>
    <row r="301">
      <c r="A301" s="18">
        <f>IF($I301="","",INDEX('Batches'!$D$1:$D$302,$I301))</f>
        <v/>
      </c>
      <c r="B301" s="16">
        <f>IF($I301="","",INDEX('Batches'!$I$1:$I$302,$I301))</f>
        <v/>
      </c>
      <c r="C301" s="8">
        <f>IF($I301="","",INDEX('Batches'!$A$1:$A$302,$I301))</f>
        <v/>
      </c>
      <c r="D301" s="8">
        <f>IF($I301="","",INDEX('Batches'!$B$1:$B$302,$I301))</f>
        <v/>
      </c>
      <c r="E301" s="8">
        <f>IF($I301="","",INDEX('Batches'!$C$1:$C$302,$I301))</f>
        <v/>
      </c>
      <c r="F301" s="8">
        <f>IF($I301="","",INDEX('Batches'!$G$1:$G$302,$I301))</f>
        <v/>
      </c>
      <c r="G301" s="16">
        <f>IF($I301="","",INDEX('Batches'!$H$1:$H$302,$I301))</f>
        <v/>
      </c>
      <c r="I301" s="16">
        <f>IFERROR(ROUND(MOD(SMALL('Batches'!$J$3:$J$302,297),1)*100000,0),"")</f>
        <v/>
      </c>
    </row>
    <row r="302">
      <c r="A302" s="18">
        <f>IF($I302="","",INDEX('Batches'!$D$1:$D$302,$I302))</f>
        <v/>
      </c>
      <c r="B302" s="16">
        <f>IF($I302="","",INDEX('Batches'!$I$1:$I$302,$I302))</f>
        <v/>
      </c>
      <c r="C302" s="8">
        <f>IF($I302="","",INDEX('Batches'!$A$1:$A$302,$I302))</f>
        <v/>
      </c>
      <c r="D302" s="8">
        <f>IF($I302="","",INDEX('Batches'!$B$1:$B$302,$I302))</f>
        <v/>
      </c>
      <c r="E302" s="8">
        <f>IF($I302="","",INDEX('Batches'!$C$1:$C$302,$I302))</f>
        <v/>
      </c>
      <c r="F302" s="8">
        <f>IF($I302="","",INDEX('Batches'!$G$1:$G$302,$I302))</f>
        <v/>
      </c>
      <c r="G302" s="16">
        <f>IF($I302="","",INDEX('Batches'!$H$1:$H$302,$I302))</f>
        <v/>
      </c>
      <c r="I302" s="16">
        <f>IFERROR(ROUND(MOD(SMALL('Batches'!$J$3:$J$302,298),1)*100000,0),"")</f>
        <v/>
      </c>
    </row>
    <row r="303">
      <c r="A303" s="18">
        <f>IF($I303="","",INDEX('Batches'!$D$1:$D$302,$I303))</f>
        <v/>
      </c>
      <c r="B303" s="16">
        <f>IF($I303="","",INDEX('Batches'!$I$1:$I$302,$I303))</f>
        <v/>
      </c>
      <c r="C303" s="8">
        <f>IF($I303="","",INDEX('Batches'!$A$1:$A$302,$I303))</f>
        <v/>
      </c>
      <c r="D303" s="8">
        <f>IF($I303="","",INDEX('Batches'!$B$1:$B$302,$I303))</f>
        <v/>
      </c>
      <c r="E303" s="8">
        <f>IF($I303="","",INDEX('Batches'!$C$1:$C$302,$I303))</f>
        <v/>
      </c>
      <c r="F303" s="8">
        <f>IF($I303="","",INDEX('Batches'!$G$1:$G$302,$I303))</f>
        <v/>
      </c>
      <c r="G303" s="16">
        <f>IF($I303="","",INDEX('Batches'!$H$1:$H$302,$I303))</f>
        <v/>
      </c>
      <c r="I303" s="16">
        <f>IFERROR(ROUND(MOD(SMALL('Batches'!$J$3:$J$302,299),1)*100000,0),"")</f>
        <v/>
      </c>
    </row>
    <row r="304">
      <c r="A304" s="18">
        <f>IF($I304="","",INDEX('Batches'!$D$1:$D$302,$I304))</f>
        <v/>
      </c>
      <c r="B304" s="16">
        <f>IF($I304="","",INDEX('Batches'!$I$1:$I$302,$I304))</f>
        <v/>
      </c>
      <c r="C304" s="8">
        <f>IF($I304="","",INDEX('Batches'!$A$1:$A$302,$I304))</f>
        <v/>
      </c>
      <c r="D304" s="8">
        <f>IF($I304="","",INDEX('Batches'!$B$1:$B$302,$I304))</f>
        <v/>
      </c>
      <c r="E304" s="8">
        <f>IF($I304="","",INDEX('Batches'!$C$1:$C$302,$I304))</f>
        <v/>
      </c>
      <c r="F304" s="8">
        <f>IF($I304="","",INDEX('Batches'!$G$1:$G$302,$I304))</f>
        <v/>
      </c>
      <c r="G304" s="16">
        <f>IF($I304="","",INDEX('Batches'!$H$1:$H$302,$I304))</f>
        <v/>
      </c>
      <c r="I304" s="16">
        <f>IFERROR(ROUND(MOD(SMALL('Batches'!$J$3:$J$302,300),1)*100000,0),"")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conditionalFormatting sqref="A5:G304">
    <cfRule type="expression" priority="1" dxfId="0">
      <formula>AND(ISNUMBER($B5),$B5&lt;'Settings'!$B$8)</formula>
    </cfRule>
    <cfRule type="expression" priority="2" dxfId="1">
      <formula>AND(ISNUMBER($B5),$B5&lt;'Settings'!$B$9)</formula>
    </cfRule>
  </conditionalFormatting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inventory-and-expiry-tracker</dc:title>
  <dcterms:created xmlns:dcterms="http://purl.org/dc/terms/" xmlns:xsi="http://www.w3.org/2001/XMLSchema-instance" xsi:type="dcterms:W3CDTF">2026-10-05T11:09:03Z</dcterms:created>
  <dcterms:modified xmlns:dcterms="http://purl.org/dc/terms/" xmlns:xsi="http://www.w3.org/2001/XMLSchema-instance" xsi:type="dcterms:W3CDTF">2026-10-05T11:09:03Z</dcterms:modified>
</cp:coreProperties>
</file>