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أصناف" sheetId="3" state="visible" r:id="rId3"/>
    <sheet xmlns:r="http://schemas.openxmlformats.org/officeDocument/2006/relationships" name="الوصفة" sheetId="4" state="visible" r:id="rId4"/>
    <sheet xmlns:r="http://schemas.openxmlformats.org/officeDocument/2006/relationships" name="التوقع والهدر" sheetId="5" state="visible" r:id="rId5"/>
  </sheets>
  <definedNames>
    <definedName name="Units">'الإعدادات'!$A$10:$A$21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hh:mm"/>
    <numFmt numFmtId="166" formatCode="0.0%"/>
    <numFmt numFmtId="167" formatCode="mmmm yyyy"/>
    <numFmt numFmtId="168" formatCode="#,##0.0000"/>
    <numFmt numFmtId="169" formatCode="#,##0.000"/>
    <numFmt numFmtId="170" formatCode="0.##"/>
    <numFmt numFmtId="171" formatCode="#,##0.0"/>
    <numFmt numFmtId="172" formatCode="#,##0.0#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/>
      <top style="thin">
        <color rgb="00D9D2DE"/>
      </top>
      <bottom style="thin">
        <color rgb="00D9D2DE"/>
      </bottom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7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7" fontId="2" fillId="3" borderId="1" applyAlignment="1" applyProtection="1" pivotButton="0" quotePrefix="0" xfId="6">
      <alignment horizontal="center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168" fontId="2" fillId="4" borderId="1" applyAlignment="1" pivotButton="0" quotePrefix="0" xfId="9">
      <alignment horizontal="center" vertical="center" readingOrder="2"/>
    </xf>
    <xf numFmtId="0" fontId="0" fillId="0" borderId="5" pivotButton="0" quotePrefix="0" xfId="0"/>
    <xf numFmtId="0" fontId="0" fillId="0" borderId="6" pivotButton="0" quotePrefix="0" xfId="0"/>
    <xf numFmtId="169" fontId="2" fillId="4" borderId="1" applyAlignment="1" pivotButton="0" quotePrefix="0" xfId="9">
      <alignment horizontal="center" vertical="center" readingOrder="2"/>
    </xf>
    <xf numFmtId="0" fontId="2" fillId="4" borderId="1" applyAlignment="1" pivotButton="0" quotePrefix="0" xfId="8">
      <alignment horizontal="right" vertical="center" readingOrder="2"/>
    </xf>
    <xf numFmtId="166" fontId="2" fillId="4" borderId="1" applyAlignment="1" pivotButton="0" quotePrefix="0" xfId="11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  <xf numFmtId="170" fontId="2" fillId="3" borderId="1" applyAlignment="1" applyProtection="1" pivotButton="0" quotePrefix="0" xfId="2">
      <alignment horizontal="center" vertical="center"/>
      <protection locked="0" hidden="0"/>
    </xf>
    <xf numFmtId="0" fontId="6" fillId="0" borderId="2" applyAlignment="1" pivotButton="0" quotePrefix="0" xfId="14">
      <alignment horizontal="right" vertical="center" readingOrder="2"/>
    </xf>
    <xf numFmtId="167" fontId="2" fillId="4" borderId="1" applyAlignment="1" pivotButton="0" quotePrefix="0" xfId="12">
      <alignment horizontal="center" vertical="center" readingOrder="2"/>
    </xf>
    <xf numFmtId="171" fontId="2" fillId="4" borderId="1" applyAlignment="1" pivotButton="0" quotePrefix="0" xfId="9">
      <alignment horizontal="center" vertical="center" readingOrder="2"/>
    </xf>
    <xf numFmtId="172" fontId="2" fillId="3" borderId="1" applyAlignment="1" applyProtection="1" pivotButton="0" quotePrefix="0" xfId="3">
      <alignment horizontal="center" vertical="center" readingOrder="2"/>
      <protection locked="0" hidden="0"/>
    </xf>
    <xf numFmtId="4" fontId="3" fillId="4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onsumables-per-service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consumables-per-service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B39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8" customWidth="1" min="1" max="1"/>
    <col width="22" customWidth="1" min="2" max="2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الشهر (أول يوم فيه)</t>
        </is>
      </c>
      <c r="B6" s="5" t="n">
        <v>46266</v>
      </c>
    </row>
    <row r="7">
      <c r="A7" s="3" t="inlineStr">
        <is>
          <t>تنبيه إذا تجاوز الهدر</t>
        </is>
      </c>
      <c r="B7" s="6" t="n">
        <v>0.1</v>
      </c>
    </row>
    <row r="9">
      <c r="A9" s="7" t="inlineStr">
        <is>
          <t>وحدات الاستخدام</t>
        </is>
      </c>
    </row>
    <row r="10">
      <c r="A10" s="4" t="inlineStr">
        <is>
          <t>قطعة</t>
        </is>
      </c>
    </row>
    <row r="11">
      <c r="A11" s="4" t="inlineStr">
        <is>
          <t>زوج</t>
        </is>
      </c>
    </row>
    <row r="12">
      <c r="A12" s="4" t="inlineStr">
        <is>
          <t>مل</t>
        </is>
      </c>
    </row>
    <row r="13">
      <c r="A13" s="4" t="inlineStr">
        <is>
          <t>غرام</t>
        </is>
      </c>
    </row>
    <row r="14">
      <c r="A14" s="4" t="inlineStr">
        <is>
          <t>ورقة</t>
        </is>
      </c>
    </row>
    <row r="15">
      <c r="A15" s="4" t="inlineStr">
        <is>
          <t>وحدة</t>
        </is>
      </c>
    </row>
    <row r="16">
      <c r="A16" s="4" t="inlineStr">
        <is>
          <t>عدة</t>
        </is>
      </c>
    </row>
    <row r="17">
      <c r="A17" s="4" t="inlineStr">
        <is>
          <t>علبة</t>
        </is>
      </c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8" t="inlineStr">
        <is>
          <t>في «الأصناف»: كل صنف بسعر عبوته وعدد وحدات الاستخدام فيها (أزواج القفازات، أو مل الجل). تكلفة الوحدة تُحسب وحدها.</t>
        </is>
      </c>
    </row>
    <row r="4" ht="30" customHeight="1">
      <c r="A4" s="3" t="n">
        <v>2</v>
      </c>
      <c r="B4" s="8" t="inlineStr">
        <is>
          <t>في «الوصفة»: صف لكل خدمة بسعرها، واكتب تحت كل صنف الكمية التي تستخدمها جلسة واحدة. تكلفة المستهلكات للجلسة تظهر في العمود C.</t>
        </is>
      </c>
    </row>
    <row r="5" ht="30" customHeight="1">
      <c r="A5" s="3" t="n">
        <v>3</v>
      </c>
      <c r="B5" s="8" t="inlineStr">
        <is>
          <t>آخر كل شهر، في «التوقع والهدر»: اكتب عدد كل خدمة قُدمت، وما صُرف فعلًا من كل صنف بالعبوات (من ورقة «الحركات» في متتبع المخزون).</t>
        </is>
      </c>
    </row>
    <row r="6" ht="30" customHeight="1">
      <c r="A6" s="3" t="n">
        <v>4</v>
      </c>
      <c r="B6" s="8" t="inlineStr">
        <is>
          <t>الأحمر صنف استُخدم منه أكثر من وصفته. الفرق يُوزع على الخدمات التي تستخدمه، فترى تكلفة الجلسة الفعلية بجانب تكلفة الوصفة.</t>
        </is>
      </c>
    </row>
    <row r="7" ht="30" customHeight="1">
      <c r="A7" s="3" t="n">
        <v>5</v>
      </c>
      <c r="B7" s="8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9" t="inlineStr">
        <is>
          <t>مسح البيانات التجريبية</t>
        </is>
      </c>
    </row>
    <row r="10" ht="30" customHeight="1">
      <c r="B10" s="8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0" t="inlineStr">
        <is>
          <t>«الوصفة» A7:B26</t>
        </is>
      </c>
    </row>
    <row r="12">
      <c r="B12" s="10" t="inlineStr">
        <is>
          <t>«الوصفة» E7:AH26</t>
        </is>
      </c>
    </row>
    <row r="13">
      <c r="B13" s="10" t="inlineStr">
        <is>
          <t>«التوقع والهدر» B6:B25</t>
        </is>
      </c>
    </row>
    <row r="14">
      <c r="B14" s="10" t="inlineStr">
        <is>
          <t>«التوقع والهدر» N6:N35</t>
        </is>
      </c>
    </row>
    <row r="16">
      <c r="B16" s="9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G43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2" customWidth="1" min="4" max="4"/>
    <col width="13" customWidth="1" min="5" max="5"/>
    <col width="12" customWidth="1" min="6" max="6"/>
    <col width="13" customWidth="1" min="7" max="7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الكود</t>
        </is>
      </c>
      <c r="B2" s="7" t="inlineStr">
        <is>
          <t>الصنف</t>
        </is>
      </c>
      <c r="C2" s="7" t="inlineStr">
        <is>
          <t>وحدة الشراء</t>
        </is>
      </c>
      <c r="D2" s="7" t="inlineStr">
        <is>
          <t>سعر الوحدة المشتراة</t>
        </is>
      </c>
      <c r="E2" s="7" t="inlineStr">
        <is>
          <t>وحدات استخدام في العبوة</t>
        </is>
      </c>
      <c r="F2" s="7" t="inlineStr">
        <is>
          <t>وحدة الاستخدام</t>
        </is>
      </c>
      <c r="G2" s="7" t="inlineStr">
        <is>
          <t>تكلفة وحدة الاستخدام</t>
        </is>
      </c>
    </row>
    <row r="3">
      <c r="A3" s="4" t="inlineStr">
        <is>
          <t>INV-001</t>
        </is>
      </c>
      <c r="B3" s="4" t="inlineStr">
        <is>
          <t>قفازات نيتريل مقاس M</t>
        </is>
      </c>
      <c r="C3" s="4" t="inlineStr">
        <is>
          <t>علبة</t>
        </is>
      </c>
      <c r="D3" s="12" t="n">
        <v>28</v>
      </c>
      <c r="E3" s="13" t="n">
        <v>50</v>
      </c>
      <c r="F3" s="4" t="inlineStr">
        <is>
          <t>زوج</t>
        </is>
      </c>
      <c r="G3" s="14">
        <f>IF(OR($A3="",$E3="",$E3=0),"",$D3/$E3)</f>
        <v/>
      </c>
    </row>
    <row r="4">
      <c r="A4" s="4" t="inlineStr">
        <is>
          <t>INV-003</t>
        </is>
      </c>
      <c r="B4" s="4" t="inlineStr">
        <is>
          <t>كمامات طبية</t>
        </is>
      </c>
      <c r="C4" s="4" t="inlineStr">
        <is>
          <t>علبة</t>
        </is>
      </c>
      <c r="D4" s="12" t="n">
        <v>15</v>
      </c>
      <c r="E4" s="13" t="n">
        <v>50</v>
      </c>
      <c r="F4" s="4" t="inlineStr">
        <is>
          <t>قطعة</t>
        </is>
      </c>
      <c r="G4" s="14">
        <f>IF(OR($A4="",$E4="",$E4=0),"",$D4/$E4)</f>
        <v/>
      </c>
    </row>
    <row r="5">
      <c r="A5" s="4" t="inlineStr">
        <is>
          <t>INV-004</t>
        </is>
      </c>
      <c r="B5" s="4" t="inlineStr">
        <is>
          <t>شاش 10×10</t>
        </is>
      </c>
      <c r="C5" s="4" t="inlineStr">
        <is>
          <t>عبوة</t>
        </is>
      </c>
      <c r="D5" s="12" t="n">
        <v>12</v>
      </c>
      <c r="E5" s="13" t="n">
        <v>100</v>
      </c>
      <c r="F5" s="4" t="inlineStr">
        <is>
          <t>قطعة</t>
        </is>
      </c>
      <c r="G5" s="14">
        <f>IF(OR($A5="",$E5="",$E5=0),"",$D5/$E5)</f>
        <v/>
      </c>
    </row>
    <row r="6">
      <c r="A6" s="4" t="inlineStr">
        <is>
          <t>INV-005</t>
        </is>
      </c>
      <c r="B6" s="4" t="inlineStr">
        <is>
          <t>مناديل كحول</t>
        </is>
      </c>
      <c r="C6" s="4" t="inlineStr">
        <is>
          <t>علبة</t>
        </is>
      </c>
      <c r="D6" s="12" t="n">
        <v>18</v>
      </c>
      <c r="E6" s="13" t="n">
        <v>200</v>
      </c>
      <c r="F6" s="4" t="inlineStr">
        <is>
          <t>قطعة</t>
        </is>
      </c>
      <c r="G6" s="14">
        <f>IF(OR($A6="",$E6="",$E6=0),"",$D6/$E6)</f>
        <v/>
      </c>
    </row>
    <row r="7">
      <c r="A7" s="4" t="inlineStr">
        <is>
          <t>INV-006</t>
        </is>
      </c>
      <c r="B7" s="4" t="inlineStr">
        <is>
          <t>سرنجات 5 مل</t>
        </is>
      </c>
      <c r="C7" s="4" t="inlineStr">
        <is>
          <t>علبة</t>
        </is>
      </c>
      <c r="D7" s="12" t="n">
        <v>35</v>
      </c>
      <c r="E7" s="13" t="n">
        <v>100</v>
      </c>
      <c r="F7" s="4" t="inlineStr">
        <is>
          <t>قطعة</t>
        </is>
      </c>
      <c r="G7" s="14">
        <f>IF(OR($A7="",$E7="",$E7=0),"",$D7/$E7)</f>
        <v/>
      </c>
    </row>
    <row r="8">
      <c r="A8" s="4" t="inlineStr">
        <is>
          <t>INV-007</t>
        </is>
      </c>
      <c r="B8" s="4" t="inlineStr">
        <is>
          <t>سرنجات 1 مل</t>
        </is>
      </c>
      <c r="C8" s="4" t="inlineStr">
        <is>
          <t>علبة</t>
        </is>
      </c>
      <c r="D8" s="12" t="n">
        <v>40</v>
      </c>
      <c r="E8" s="13" t="n">
        <v>100</v>
      </c>
      <c r="F8" s="4" t="inlineStr">
        <is>
          <t>قطعة</t>
        </is>
      </c>
      <c r="G8" s="14">
        <f>IF(OR($A8="",$E8="",$E8=0),"",$D8/$E8)</f>
        <v/>
      </c>
    </row>
    <row r="9">
      <c r="A9" s="4" t="inlineStr">
        <is>
          <t>INV-008</t>
        </is>
      </c>
      <c r="B9" s="4" t="inlineStr">
        <is>
          <t>إبر 30G</t>
        </is>
      </c>
      <c r="C9" s="4" t="inlineStr">
        <is>
          <t>علبة</t>
        </is>
      </c>
      <c r="D9" s="12" t="n">
        <v>45</v>
      </c>
      <c r="E9" s="13" t="n">
        <v>100</v>
      </c>
      <c r="F9" s="4" t="inlineStr">
        <is>
          <t>قطعة</t>
        </is>
      </c>
      <c r="G9" s="14">
        <f>IF(OR($A9="",$E9="",$E9=0),"",$D9/$E9)</f>
        <v/>
      </c>
    </row>
    <row r="10">
      <c r="A10" s="4" t="inlineStr">
        <is>
          <t>INV-009</t>
        </is>
      </c>
      <c r="B10" s="4" t="inlineStr">
        <is>
          <t>كانيولا 25G</t>
        </is>
      </c>
      <c r="C10" s="4" t="inlineStr">
        <is>
          <t>علبة</t>
        </is>
      </c>
      <c r="D10" s="12" t="n">
        <v>220</v>
      </c>
      <c r="E10" s="13" t="n">
        <v>20</v>
      </c>
      <c r="F10" s="4" t="inlineStr">
        <is>
          <t>قطعة</t>
        </is>
      </c>
      <c r="G10" s="14">
        <f>IF(OR($A10="",$E10="",$E10=0),"",$D10/$E10)</f>
        <v/>
      </c>
    </row>
    <row r="11">
      <c r="A11" s="4" t="inlineStr">
        <is>
          <t>INV-010</t>
        </is>
      </c>
      <c r="B11" s="4" t="inlineStr">
        <is>
          <t>جل الليزر</t>
        </is>
      </c>
      <c r="C11" s="4" t="inlineStr">
        <is>
          <t>جالون 5 لتر</t>
        </is>
      </c>
      <c r="D11" s="12" t="n">
        <v>95</v>
      </c>
      <c r="E11" s="13" t="n">
        <v>5000</v>
      </c>
      <c r="F11" s="4" t="inlineStr">
        <is>
          <t>مل</t>
        </is>
      </c>
      <c r="G11" s="14">
        <f>IF(OR($A11="",$E11="",$E11=0),"",$D11/$E11)</f>
        <v/>
      </c>
    </row>
    <row r="12">
      <c r="A12" s="4" t="inlineStr">
        <is>
          <t>INV-011</t>
        </is>
      </c>
      <c r="B12" s="4" t="inlineStr">
        <is>
          <t>جل الموجات فوق الصوتية</t>
        </is>
      </c>
      <c r="C12" s="4" t="inlineStr">
        <is>
          <t>عبوة 250 مل</t>
        </is>
      </c>
      <c r="D12" s="12" t="n">
        <v>9</v>
      </c>
      <c r="E12" s="13" t="n">
        <v>250</v>
      </c>
      <c r="F12" s="4" t="inlineStr">
        <is>
          <t>مل</t>
        </is>
      </c>
      <c r="G12" s="14">
        <f>IF(OR($A12="",$E12="",$E12=0),"",$D12/$E12)</f>
        <v/>
      </c>
    </row>
    <row r="13">
      <c r="A13" s="4" t="inlineStr">
        <is>
          <t>INV-012</t>
        </is>
      </c>
      <c r="B13" s="4" t="inlineStr">
        <is>
          <t>لفافة شراشف السرير</t>
        </is>
      </c>
      <c r="C13" s="4" t="inlineStr">
        <is>
          <t>لفافة</t>
        </is>
      </c>
      <c r="D13" s="12" t="n">
        <v>22</v>
      </c>
      <c r="E13" s="13" t="n">
        <v>50</v>
      </c>
      <c r="F13" s="4" t="inlineStr">
        <is>
          <t>ورقة</t>
        </is>
      </c>
      <c r="G13" s="14">
        <f>IF(OR($A13="",$E13="",$E13=0),"",$D13/$E13)</f>
        <v/>
      </c>
    </row>
    <row r="14">
      <c r="A14" s="4" t="inlineStr">
        <is>
          <t>INV-013</t>
        </is>
      </c>
      <c r="B14" s="4" t="inlineStr">
        <is>
          <t>أقراص قطن</t>
        </is>
      </c>
      <c r="C14" s="4" t="inlineStr">
        <is>
          <t>عبوة</t>
        </is>
      </c>
      <c r="D14" s="12" t="n">
        <v>8</v>
      </c>
      <c r="E14" s="13" t="n">
        <v>100</v>
      </c>
      <c r="F14" s="4" t="inlineStr">
        <is>
          <t>قطعة</t>
        </is>
      </c>
      <c r="G14" s="14">
        <f>IF(OR($A14="",$E14="",$E14=0),"",$D14/$E14)</f>
        <v/>
      </c>
    </row>
    <row r="15">
      <c r="A15" s="4" t="inlineStr">
        <is>
          <t>INV-014</t>
        </is>
      </c>
      <c r="B15" s="4" t="inlineStr">
        <is>
          <t>أكياس التعقيم</t>
        </is>
      </c>
      <c r="C15" s="4" t="inlineStr">
        <is>
          <t>علبة</t>
        </is>
      </c>
      <c r="D15" s="12" t="n">
        <v>65</v>
      </c>
      <c r="E15" s="13" t="n">
        <v>200</v>
      </c>
      <c r="F15" s="4" t="inlineStr">
        <is>
          <t>قطعة</t>
        </is>
      </c>
      <c r="G15" s="14">
        <f>IF(OR($A15="",$E15="",$E15=0),"",$D15/$E15)</f>
        <v/>
      </c>
    </row>
    <row r="16">
      <c r="A16" s="4" t="inlineStr">
        <is>
          <t>INV-016</t>
        </is>
      </c>
      <c r="B16" s="4" t="inlineStr">
        <is>
          <t>بخاخ تطهير الأسطح</t>
        </is>
      </c>
      <c r="C16" s="4" t="inlineStr">
        <is>
          <t>عبوة 1 لتر</t>
        </is>
      </c>
      <c r="D16" s="12" t="n">
        <v>26</v>
      </c>
      <c r="E16" s="13" t="n">
        <v>1000</v>
      </c>
      <c r="F16" s="4" t="inlineStr">
        <is>
          <t>مل</t>
        </is>
      </c>
      <c r="G16" s="14">
        <f>IF(OR($A16="",$E16="",$E16=0),"",$D16/$E16)</f>
        <v/>
      </c>
    </row>
    <row r="17">
      <c r="A17" s="4" t="inlineStr">
        <is>
          <t>INV-017</t>
        </is>
      </c>
      <c r="B17" s="4" t="inlineStr">
        <is>
          <t>معقم اليدين</t>
        </is>
      </c>
      <c r="C17" s="4" t="inlineStr">
        <is>
          <t>عبوة 500 مل</t>
        </is>
      </c>
      <c r="D17" s="12" t="n">
        <v>14</v>
      </c>
      <c r="E17" s="13" t="n">
        <v>500</v>
      </c>
      <c r="F17" s="4" t="inlineStr">
        <is>
          <t>مل</t>
        </is>
      </c>
      <c r="G17" s="14">
        <f>IF(OR($A17="",$E17="",$E17=0),"",$D17/$E17)</f>
        <v/>
      </c>
    </row>
    <row r="18">
      <c r="A18" s="4" t="inlineStr">
        <is>
          <t>INV-019</t>
        </is>
      </c>
      <c r="B18" s="4" t="inlineStr">
        <is>
          <t>كريم مخدر موضعي</t>
        </is>
      </c>
      <c r="C18" s="4" t="inlineStr">
        <is>
          <t>أنبوب 30 غ</t>
        </is>
      </c>
      <c r="D18" s="12" t="n">
        <v>32</v>
      </c>
      <c r="E18" s="13" t="n">
        <v>30</v>
      </c>
      <c r="F18" s="4" t="inlineStr">
        <is>
          <t>غرام</t>
        </is>
      </c>
      <c r="G18" s="14">
        <f>IF(OR($A18="",$E18="",$E18=0),"",$D18/$E18)</f>
        <v/>
      </c>
    </row>
    <row r="19">
      <c r="A19" s="4" t="inlineStr">
        <is>
          <t>INV-022</t>
        </is>
      </c>
      <c r="B19" s="4" t="inlineStr">
        <is>
          <t>محلول كلورهيكسيدين</t>
        </is>
      </c>
      <c r="C19" s="4" t="inlineStr">
        <is>
          <t>عبوة 500 مل</t>
        </is>
      </c>
      <c r="D19" s="12" t="n">
        <v>21</v>
      </c>
      <c r="E19" s="13" t="n">
        <v>500</v>
      </c>
      <c r="F19" s="4" t="inlineStr">
        <is>
          <t>مل</t>
        </is>
      </c>
      <c r="G19" s="14">
        <f>IF(OR($A19="",$E19="",$E19=0),"",$D19/$E19)</f>
        <v/>
      </c>
    </row>
    <row r="20">
      <c r="A20" s="4" t="inlineStr">
        <is>
          <t>INV-023</t>
        </is>
      </c>
      <c r="B20" s="4" t="inlineStr">
        <is>
          <t>فيلر حمض الهيالورونيك 1 مل</t>
        </is>
      </c>
      <c r="C20" s="4" t="inlineStr">
        <is>
          <t>سرنجة</t>
        </is>
      </c>
      <c r="D20" s="12" t="n">
        <v>650</v>
      </c>
      <c r="E20" s="13" t="n">
        <v>1</v>
      </c>
      <c r="F20" s="4" t="inlineStr">
        <is>
          <t>قطعة</t>
        </is>
      </c>
      <c r="G20" s="14">
        <f>IF(OR($A20="",$E20="",$E20=0),"",$D20/$E20)</f>
        <v/>
      </c>
    </row>
    <row r="21">
      <c r="A21" s="4" t="inlineStr">
        <is>
          <t>INV-024</t>
        </is>
      </c>
      <c r="B21" s="4" t="inlineStr">
        <is>
          <t>توكسين البوتولينوم</t>
        </is>
      </c>
      <c r="C21" s="4" t="inlineStr">
        <is>
          <t>فيال 100 وحدة</t>
        </is>
      </c>
      <c r="D21" s="12" t="n">
        <v>900</v>
      </c>
      <c r="E21" s="13" t="n">
        <v>100</v>
      </c>
      <c r="F21" s="4" t="inlineStr">
        <is>
          <t>وحدة</t>
        </is>
      </c>
      <c r="G21" s="14">
        <f>IF(OR($A21="",$E21="",$E21=0),"",$D21/$E21)</f>
        <v/>
      </c>
    </row>
    <row r="22">
      <c r="A22" s="4" t="inlineStr">
        <is>
          <t>INV-025</t>
        </is>
      </c>
      <c r="B22" s="4" t="inlineStr">
        <is>
          <t>معزز البشرة 2 مل</t>
        </is>
      </c>
      <c r="C22" s="4" t="inlineStr">
        <is>
          <t>سرنجة</t>
        </is>
      </c>
      <c r="D22" s="12" t="n">
        <v>480</v>
      </c>
      <c r="E22" s="13" t="n">
        <v>1</v>
      </c>
      <c r="F22" s="4" t="inlineStr">
        <is>
          <t>قطعة</t>
        </is>
      </c>
      <c r="G22" s="14">
        <f>IF(OR($A22="",$E22="",$E22=0),"",$D22/$E22)</f>
        <v/>
      </c>
    </row>
    <row r="23">
      <c r="A23" s="4" t="inlineStr">
        <is>
          <t>INV-026</t>
        </is>
      </c>
      <c r="B23" s="4" t="inlineStr">
        <is>
          <t>عدة البلازما PRP</t>
        </is>
      </c>
      <c r="C23" s="4" t="inlineStr">
        <is>
          <t>عدة</t>
        </is>
      </c>
      <c r="D23" s="12" t="n">
        <v>160</v>
      </c>
      <c r="E23" s="13" t="n">
        <v>1</v>
      </c>
      <c r="F23" s="4" t="inlineStr">
        <is>
          <t>عدة</t>
        </is>
      </c>
      <c r="G23" s="14">
        <f>IF(OR($A23="",$E23="",$E23=0),"",$D23/$E23)</f>
        <v/>
      </c>
    </row>
    <row r="24">
      <c r="A24" s="4" t="inlineStr">
        <is>
          <t>INV-027</t>
        </is>
      </c>
      <c r="B24" s="4" t="inlineStr">
        <is>
          <t>أمبولات فيتامين C</t>
        </is>
      </c>
      <c r="C24" s="4" t="inlineStr">
        <is>
          <t>علبة 10</t>
        </is>
      </c>
      <c r="D24" s="12" t="n">
        <v>250</v>
      </c>
      <c r="E24" s="13" t="n">
        <v>10</v>
      </c>
      <c r="F24" s="4" t="inlineStr">
        <is>
          <t>قطعة</t>
        </is>
      </c>
      <c r="G24" s="14">
        <f>IF(OR($A24="",$E24="",$E24=0),"",$D24/$E24)</f>
        <v/>
      </c>
    </row>
    <row r="25">
      <c r="A25" s="4" t="inlineStr">
        <is>
          <t>INV-029</t>
        </is>
      </c>
      <c r="B25" s="4" t="inlineStr">
        <is>
          <t>محلول الميزوثيرابي</t>
        </is>
      </c>
      <c r="C25" s="4" t="inlineStr">
        <is>
          <t>فيال 5 مل</t>
        </is>
      </c>
      <c r="D25" s="12" t="n">
        <v>70</v>
      </c>
      <c r="E25" s="13" t="n">
        <v>5</v>
      </c>
      <c r="F25" s="4" t="inlineStr">
        <is>
          <t>مل</t>
        </is>
      </c>
      <c r="G25" s="14">
        <f>IF(OR($A25="",$E25="",$E25=0),"",$D25/$E25)</f>
        <v/>
      </c>
    </row>
    <row r="26">
      <c r="A26" s="4" t="inlineStr">
        <is>
          <t>INV-033</t>
        </is>
      </c>
      <c r="B26" s="4" t="inlineStr">
        <is>
          <t>أقطاب جهاز TENS</t>
        </is>
      </c>
      <c r="C26" s="4" t="inlineStr">
        <is>
          <t>عبوة 4</t>
        </is>
      </c>
      <c r="D26" s="12" t="n">
        <v>35</v>
      </c>
      <c r="E26" s="13" t="n">
        <v>4</v>
      </c>
      <c r="F26" s="4" t="inlineStr">
        <is>
          <t>قطعة</t>
        </is>
      </c>
      <c r="G26" s="14">
        <f>IF(OR($A26="",$E26="",$E26=0),"",$D26/$E26)</f>
        <v/>
      </c>
    </row>
    <row r="27">
      <c r="A27" s="4" t="inlineStr">
        <is>
          <t>INV-034</t>
        </is>
      </c>
      <c r="B27" s="4" t="inlineStr">
        <is>
          <t>أغطية مسبار الموجات</t>
        </is>
      </c>
      <c r="C27" s="4" t="inlineStr">
        <is>
          <t>علبة</t>
        </is>
      </c>
      <c r="D27" s="12" t="n">
        <v>140</v>
      </c>
      <c r="E27" s="13" t="n">
        <v>100</v>
      </c>
      <c r="F27" s="4" t="inlineStr">
        <is>
          <t>قطعة</t>
        </is>
      </c>
      <c r="G27" s="14">
        <f>IF(OR($A27="",$E27="",$E27=0),"",$D27/$E27)</f>
        <v/>
      </c>
    </row>
    <row r="28">
      <c r="A28" s="4" t="inlineStr">
        <is>
          <t>INV-036</t>
        </is>
      </c>
      <c r="B28" s="4" t="inlineStr">
        <is>
          <t>أقطاب تخطيط القلب</t>
        </is>
      </c>
      <c r="C28" s="4" t="inlineStr">
        <is>
          <t>عبوة</t>
        </is>
      </c>
      <c r="D28" s="12" t="n">
        <v>30</v>
      </c>
      <c r="E28" s="13" t="n">
        <v>50</v>
      </c>
      <c r="F28" s="4" t="inlineStr">
        <is>
          <t>قطعة</t>
        </is>
      </c>
      <c r="G28" s="14">
        <f>IF(OR($A28="",$E28="",$E28=0),"",$D28/$E28)</f>
        <v/>
      </c>
    </row>
    <row r="29">
      <c r="A29" s="4" t="inlineStr">
        <is>
          <t>INV-043</t>
        </is>
      </c>
      <c r="B29" s="4" t="inlineStr">
        <is>
          <t>خراطيش الميكرونيدلنج</t>
        </is>
      </c>
      <c r="C29" s="4" t="inlineStr">
        <is>
          <t>علبة</t>
        </is>
      </c>
      <c r="D29" s="12" t="n">
        <v>180</v>
      </c>
      <c r="E29" s="13" t="n">
        <v>10</v>
      </c>
      <c r="F29" s="4" t="inlineStr">
        <is>
          <t>قطعة</t>
        </is>
      </c>
      <c r="G29" s="14">
        <f>IF(OR($A29="",$E29="",$E29=0),"",$D29/$E29)</f>
        <v/>
      </c>
    </row>
    <row r="30">
      <c r="A30" s="4" t="inlineStr">
        <is>
          <t>INV-044</t>
        </is>
      </c>
      <c r="B30" s="4" t="inlineStr">
        <is>
          <t>محلول تقشير جليكوليك 30%</t>
        </is>
      </c>
      <c r="C30" s="4" t="inlineStr">
        <is>
          <t>عبوة 100 مل</t>
        </is>
      </c>
      <c r="D30" s="12" t="n">
        <v>210</v>
      </c>
      <c r="E30" s="13" t="n">
        <v>100</v>
      </c>
      <c r="F30" s="4" t="inlineStr">
        <is>
          <t>مل</t>
        </is>
      </c>
      <c r="G30" s="14">
        <f>IF(OR($A30="",$E30="",$E30=0),"",$D30/$E30)</f>
        <v/>
      </c>
    </row>
    <row r="31">
      <c r="A31" s="4" t="inlineStr">
        <is>
          <t>INV-045</t>
        </is>
      </c>
      <c r="B31" s="4" t="inlineStr">
        <is>
          <t>كمادات باردة</t>
        </is>
      </c>
      <c r="C31" s="4" t="inlineStr">
        <is>
          <t>قطعة</t>
        </is>
      </c>
      <c r="D31" s="12" t="n">
        <v>12</v>
      </c>
      <c r="E31" s="13" t="n">
        <v>1</v>
      </c>
      <c r="F31" s="4" t="inlineStr">
        <is>
          <t>قطعة</t>
        </is>
      </c>
      <c r="G31" s="14">
        <f>IF(OR($A31="",$E31="",$E31=0),"",$D31/$E31)</f>
        <v/>
      </c>
    </row>
    <row r="32">
      <c r="A32" s="4" t="inlineStr">
        <is>
          <t>INV-018</t>
        </is>
      </c>
      <c r="B32" s="4" t="inlineStr">
        <is>
          <t>حاوية الأدوات الحادة</t>
        </is>
      </c>
      <c r="C32" s="4" t="inlineStr">
        <is>
          <t>قطعة</t>
        </is>
      </c>
      <c r="D32" s="12" t="n">
        <v>18</v>
      </c>
      <c r="E32" s="13" t="n">
        <v>1</v>
      </c>
      <c r="F32" s="4" t="inlineStr">
        <is>
          <t>قطعة</t>
        </is>
      </c>
      <c r="G32" s="14">
        <f>IF(OR($A32="",$E32="",$E32=0),"",$D32/$E32)</f>
        <v/>
      </c>
    </row>
    <row r="33">
      <c r="A33" s="4" t="n"/>
      <c r="B33" s="4" t="n"/>
      <c r="C33" s="4" t="n"/>
      <c r="D33" s="12" t="n"/>
      <c r="E33" s="13" t="n"/>
      <c r="F33" s="4" t="n"/>
      <c r="G33" s="14">
        <f>IF(OR($A33="",$E33="",$E33=0),"",$D33/$E33)</f>
        <v/>
      </c>
    </row>
    <row r="34">
      <c r="A34" s="4" t="n"/>
      <c r="B34" s="4" t="n"/>
      <c r="C34" s="4" t="n"/>
      <c r="D34" s="12" t="n"/>
      <c r="E34" s="13" t="n"/>
      <c r="F34" s="4" t="n"/>
      <c r="G34" s="14">
        <f>IF(OR($A34="",$E34="",$E34=0),"",$D34/$E34)</f>
        <v/>
      </c>
    </row>
    <row r="35">
      <c r="A35" s="4" t="n"/>
      <c r="B35" s="4" t="n"/>
      <c r="C35" s="4" t="n"/>
      <c r="D35" s="12" t="n"/>
      <c r="E35" s="13" t="n"/>
      <c r="F35" s="4" t="n"/>
      <c r="G35" s="14">
        <f>IF(OR($A35="",$E35="",$E35=0),"",$D35/$E35)</f>
        <v/>
      </c>
    </row>
    <row r="36">
      <c r="A36" s="4" t="n"/>
      <c r="B36" s="4" t="n"/>
      <c r="C36" s="4" t="n"/>
      <c r="D36" s="12" t="n"/>
      <c r="E36" s="13" t="n"/>
      <c r="F36" s="4" t="n"/>
      <c r="G36" s="14">
        <f>IF(OR($A36="",$E36="",$E36=0),"",$D36/$E36)</f>
        <v/>
      </c>
    </row>
    <row r="37">
      <c r="A37" s="4" t="n"/>
      <c r="B37" s="4" t="n"/>
      <c r="C37" s="4" t="n"/>
      <c r="D37" s="12" t="n"/>
      <c r="E37" s="13" t="n"/>
      <c r="F37" s="4" t="n"/>
      <c r="G37" s="14">
        <f>IF(OR($A37="",$E37="",$E37=0),"",$D37/$E37)</f>
        <v/>
      </c>
    </row>
    <row r="38">
      <c r="A38" s="4" t="n"/>
      <c r="B38" s="4" t="n"/>
      <c r="C38" s="4" t="n"/>
      <c r="D38" s="12" t="n"/>
      <c r="E38" s="13" t="n"/>
      <c r="F38" s="4" t="n"/>
      <c r="G38" s="14">
        <f>IF(OR($A38="",$E38="",$E38=0),"",$D38/$E38)</f>
        <v/>
      </c>
    </row>
    <row r="39">
      <c r="A39" s="4" t="n"/>
      <c r="B39" s="4" t="n"/>
      <c r="C39" s="4" t="n"/>
      <c r="D39" s="12" t="n"/>
      <c r="E39" s="13" t="n"/>
      <c r="F39" s="4" t="n"/>
      <c r="G39" s="14">
        <f>IF(OR($A39="",$E39="",$E39=0),"",$D39/$E39)</f>
        <v/>
      </c>
    </row>
    <row r="40">
      <c r="A40" s="4" t="n"/>
      <c r="B40" s="4" t="n"/>
      <c r="C40" s="4" t="n"/>
      <c r="D40" s="12" t="n"/>
      <c r="E40" s="13" t="n"/>
      <c r="F40" s="4" t="n"/>
      <c r="G40" s="14">
        <f>IF(OR($A40="",$E40="",$E40=0),"",$D40/$E40)</f>
        <v/>
      </c>
    </row>
    <row r="41">
      <c r="A41" s="4" t="n"/>
      <c r="B41" s="4" t="n"/>
      <c r="C41" s="4" t="n"/>
      <c r="D41" s="12" t="n"/>
      <c r="E41" s="13" t="n"/>
      <c r="F41" s="4" t="n"/>
      <c r="G41" s="14">
        <f>IF(OR($A41="",$E41="",$E41=0),"",$D41/$E41)</f>
        <v/>
      </c>
    </row>
    <row r="42">
      <c r="A42" s="4" t="n"/>
      <c r="B42" s="4" t="n"/>
      <c r="C42" s="4" t="n"/>
      <c r="D42" s="12" t="n"/>
      <c r="E42" s="13" t="n"/>
      <c r="F42" s="4" t="n"/>
      <c r="G42" s="14">
        <f>IF(OR($A42="",$E42="",$E42=0),"",$D42/$E42)</f>
        <v/>
      </c>
    </row>
    <row r="43">
      <c r="A43" s="2" t="inlineStr">
        <is>
          <t>الأسعار من «آخر سعر» في متتبع المخزون. أضف الأصناف بالترتيب نفسه، فهي تظهر أعمدةً في «الوصفة».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G1"/>
  </mergeCells>
  <dataValidations count="1">
    <dataValidation sqref="F3:F42" showDropDown="0" showInputMessage="0" showErrorMessage="0" allowBlank="1" errorTitle="قيمة غير صحيحة" error="اختر من القائمة." type="list">
      <formula1>=Units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AR66"/>
  <sheetViews>
    <sheetView showGridLines="0" rightToLeft="1" tabSelected="0" zoomScale="11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>
      <c r="A2" s="2" t="inlineStr">
        <is>
          <t>الكمية التي تستخدمها جلسة واحدة من كل صنف، بوحدة الاستخدام (الصف 4).</t>
        </is>
      </c>
    </row>
    <row r="3">
      <c r="A3" s="3" t="inlineStr">
        <is>
          <t>تكلفة وحدة الاستخدام</t>
        </is>
      </c>
      <c r="B3" s="15" t="n"/>
      <c r="C3" s="15" t="n"/>
      <c r="D3" s="16" t="n"/>
      <c r="E3" s="17">
        <f>IF(INDEX('الأصناف'!$A$3:$A$42,1)="","",INDEX('الأصناف'!$G$3:$G$42,1))</f>
        <v/>
      </c>
      <c r="F3" s="17">
        <f>IF(INDEX('الأصناف'!$A$3:$A$42,2)="","",INDEX('الأصناف'!$G$3:$G$42,2))</f>
        <v/>
      </c>
      <c r="G3" s="17">
        <f>IF(INDEX('الأصناف'!$A$3:$A$42,3)="","",INDEX('الأصناف'!$G$3:$G$42,3))</f>
        <v/>
      </c>
      <c r="H3" s="17">
        <f>IF(INDEX('الأصناف'!$A$3:$A$42,4)="","",INDEX('الأصناف'!$G$3:$G$42,4))</f>
        <v/>
      </c>
      <c r="I3" s="17">
        <f>IF(INDEX('الأصناف'!$A$3:$A$42,5)="","",INDEX('الأصناف'!$G$3:$G$42,5))</f>
        <v/>
      </c>
      <c r="J3" s="17">
        <f>IF(INDEX('الأصناف'!$A$3:$A$42,6)="","",INDEX('الأصناف'!$G$3:$G$42,6))</f>
        <v/>
      </c>
      <c r="K3" s="17">
        <f>IF(INDEX('الأصناف'!$A$3:$A$42,7)="","",INDEX('الأصناف'!$G$3:$G$42,7))</f>
        <v/>
      </c>
      <c r="L3" s="17">
        <f>IF(INDEX('الأصناف'!$A$3:$A$42,8)="","",INDEX('الأصناف'!$G$3:$G$42,8))</f>
        <v/>
      </c>
      <c r="M3" s="17">
        <f>IF(INDEX('الأصناف'!$A$3:$A$42,9)="","",INDEX('الأصناف'!$G$3:$G$42,9))</f>
        <v/>
      </c>
      <c r="N3" s="17">
        <f>IF(INDEX('الأصناف'!$A$3:$A$42,10)="","",INDEX('الأصناف'!$G$3:$G$42,10))</f>
        <v/>
      </c>
      <c r="O3" s="17">
        <f>IF(INDEX('الأصناف'!$A$3:$A$42,11)="","",INDEX('الأصناف'!$G$3:$G$42,11))</f>
        <v/>
      </c>
      <c r="P3" s="17">
        <f>IF(INDEX('الأصناف'!$A$3:$A$42,12)="","",INDEX('الأصناف'!$G$3:$G$42,12))</f>
        <v/>
      </c>
      <c r="Q3" s="17">
        <f>IF(INDEX('الأصناف'!$A$3:$A$42,13)="","",INDEX('الأصناف'!$G$3:$G$42,13))</f>
        <v/>
      </c>
      <c r="R3" s="17">
        <f>IF(INDEX('الأصناف'!$A$3:$A$42,14)="","",INDEX('الأصناف'!$G$3:$G$42,14))</f>
        <v/>
      </c>
      <c r="S3" s="17">
        <f>IF(INDEX('الأصناف'!$A$3:$A$42,15)="","",INDEX('الأصناف'!$G$3:$G$42,15))</f>
        <v/>
      </c>
      <c r="T3" s="17">
        <f>IF(INDEX('الأصناف'!$A$3:$A$42,16)="","",INDEX('الأصناف'!$G$3:$G$42,16))</f>
        <v/>
      </c>
      <c r="U3" s="17">
        <f>IF(INDEX('الأصناف'!$A$3:$A$42,17)="","",INDEX('الأصناف'!$G$3:$G$42,17))</f>
        <v/>
      </c>
      <c r="V3" s="17">
        <f>IF(INDEX('الأصناف'!$A$3:$A$42,18)="","",INDEX('الأصناف'!$G$3:$G$42,18))</f>
        <v/>
      </c>
      <c r="W3" s="17">
        <f>IF(INDEX('الأصناف'!$A$3:$A$42,19)="","",INDEX('الأصناف'!$G$3:$G$42,19))</f>
        <v/>
      </c>
      <c r="X3" s="17">
        <f>IF(INDEX('الأصناف'!$A$3:$A$42,20)="","",INDEX('الأصناف'!$G$3:$G$42,20))</f>
        <v/>
      </c>
      <c r="Y3" s="17">
        <f>IF(INDEX('الأصناف'!$A$3:$A$42,21)="","",INDEX('الأصناف'!$G$3:$G$42,21))</f>
        <v/>
      </c>
      <c r="Z3" s="17">
        <f>IF(INDEX('الأصناف'!$A$3:$A$42,22)="","",INDEX('الأصناف'!$G$3:$G$42,22))</f>
        <v/>
      </c>
      <c r="AA3" s="17">
        <f>IF(INDEX('الأصناف'!$A$3:$A$42,23)="","",INDEX('الأصناف'!$G$3:$G$42,23))</f>
        <v/>
      </c>
      <c r="AB3" s="17">
        <f>IF(INDEX('الأصناف'!$A$3:$A$42,24)="","",INDEX('الأصناف'!$G$3:$G$42,24))</f>
        <v/>
      </c>
      <c r="AC3" s="17">
        <f>IF(INDEX('الأصناف'!$A$3:$A$42,25)="","",INDEX('الأصناف'!$G$3:$G$42,25))</f>
        <v/>
      </c>
      <c r="AD3" s="17">
        <f>IF(INDEX('الأصناف'!$A$3:$A$42,26)="","",INDEX('الأصناف'!$G$3:$G$42,26))</f>
        <v/>
      </c>
      <c r="AE3" s="17">
        <f>IF(INDEX('الأصناف'!$A$3:$A$42,27)="","",INDEX('الأصناف'!$G$3:$G$42,27))</f>
        <v/>
      </c>
      <c r="AF3" s="17">
        <f>IF(INDEX('الأصناف'!$A$3:$A$42,28)="","",INDEX('الأصناف'!$G$3:$G$42,28))</f>
        <v/>
      </c>
      <c r="AG3" s="17">
        <f>IF(INDEX('الأصناف'!$A$3:$A$42,29)="","",INDEX('الأصناف'!$G$3:$G$42,29))</f>
        <v/>
      </c>
      <c r="AH3" s="17">
        <f>IF(INDEX('الأصناف'!$A$3:$A$42,30)="","",INDEX('الأصناف'!$G$3:$G$42,30))</f>
        <v/>
      </c>
      <c r="AI3" s="17">
        <f>IF(INDEX('الأصناف'!$A$3:$A$42,31)="","",INDEX('الأصناف'!$G$3:$G$42,31))</f>
        <v/>
      </c>
      <c r="AJ3" s="17">
        <f>IF(INDEX('الأصناف'!$A$3:$A$42,32)="","",INDEX('الأصناف'!$G$3:$G$42,32))</f>
        <v/>
      </c>
      <c r="AK3" s="17">
        <f>IF(INDEX('الأصناف'!$A$3:$A$42,33)="","",INDEX('الأصناف'!$G$3:$G$42,33))</f>
        <v/>
      </c>
      <c r="AL3" s="17">
        <f>IF(INDEX('الأصناف'!$A$3:$A$42,34)="","",INDEX('الأصناف'!$G$3:$G$42,34))</f>
        <v/>
      </c>
      <c r="AM3" s="17">
        <f>IF(INDEX('الأصناف'!$A$3:$A$42,35)="","",INDEX('الأصناف'!$G$3:$G$42,35))</f>
        <v/>
      </c>
      <c r="AN3" s="17">
        <f>IF(INDEX('الأصناف'!$A$3:$A$42,36)="","",INDEX('الأصناف'!$G$3:$G$42,36))</f>
        <v/>
      </c>
      <c r="AO3" s="17">
        <f>IF(INDEX('الأصناف'!$A$3:$A$42,37)="","",INDEX('الأصناف'!$G$3:$G$42,37))</f>
        <v/>
      </c>
      <c r="AP3" s="17">
        <f>IF(INDEX('الأصناف'!$A$3:$A$42,38)="","",INDEX('الأصناف'!$G$3:$G$42,38))</f>
        <v/>
      </c>
      <c r="AQ3" s="17">
        <f>IF(INDEX('الأصناف'!$A$3:$A$42,39)="","",INDEX('الأصناف'!$G$3:$G$42,39))</f>
        <v/>
      </c>
      <c r="AR3" s="17">
        <f>IF(INDEX('الأصناف'!$A$3:$A$42,40)="","",INDEX('الأصناف'!$G$3:$G$42,40))</f>
        <v/>
      </c>
    </row>
    <row r="4">
      <c r="A4" s="3" t="inlineStr">
        <is>
          <t>وحدة الاستخدام</t>
        </is>
      </c>
      <c r="B4" s="15" t="n"/>
      <c r="C4" s="15" t="n"/>
      <c r="D4" s="16" t="n"/>
      <c r="E4" s="18">
        <f>IF(INDEX('الأصناف'!$A$3:$A$42,1)="","",INDEX('الأصناف'!$F$3:$F$42,1))</f>
        <v/>
      </c>
      <c r="F4" s="18">
        <f>IF(INDEX('الأصناف'!$A$3:$A$42,2)="","",INDEX('الأصناف'!$F$3:$F$42,2))</f>
        <v/>
      </c>
      <c r="G4" s="18">
        <f>IF(INDEX('الأصناف'!$A$3:$A$42,3)="","",INDEX('الأصناف'!$F$3:$F$42,3))</f>
        <v/>
      </c>
      <c r="H4" s="18">
        <f>IF(INDEX('الأصناف'!$A$3:$A$42,4)="","",INDEX('الأصناف'!$F$3:$F$42,4))</f>
        <v/>
      </c>
      <c r="I4" s="18">
        <f>IF(INDEX('الأصناف'!$A$3:$A$42,5)="","",INDEX('الأصناف'!$F$3:$F$42,5))</f>
        <v/>
      </c>
      <c r="J4" s="18">
        <f>IF(INDEX('الأصناف'!$A$3:$A$42,6)="","",INDEX('الأصناف'!$F$3:$F$42,6))</f>
        <v/>
      </c>
      <c r="K4" s="18">
        <f>IF(INDEX('الأصناف'!$A$3:$A$42,7)="","",INDEX('الأصناف'!$F$3:$F$42,7))</f>
        <v/>
      </c>
      <c r="L4" s="18">
        <f>IF(INDEX('الأصناف'!$A$3:$A$42,8)="","",INDEX('الأصناف'!$F$3:$F$42,8))</f>
        <v/>
      </c>
      <c r="M4" s="18">
        <f>IF(INDEX('الأصناف'!$A$3:$A$42,9)="","",INDEX('الأصناف'!$F$3:$F$42,9))</f>
        <v/>
      </c>
      <c r="N4" s="18">
        <f>IF(INDEX('الأصناف'!$A$3:$A$42,10)="","",INDEX('الأصناف'!$F$3:$F$42,10))</f>
        <v/>
      </c>
      <c r="O4" s="18">
        <f>IF(INDEX('الأصناف'!$A$3:$A$42,11)="","",INDEX('الأصناف'!$F$3:$F$42,11))</f>
        <v/>
      </c>
      <c r="P4" s="18">
        <f>IF(INDEX('الأصناف'!$A$3:$A$42,12)="","",INDEX('الأصناف'!$F$3:$F$42,12))</f>
        <v/>
      </c>
      <c r="Q4" s="18">
        <f>IF(INDEX('الأصناف'!$A$3:$A$42,13)="","",INDEX('الأصناف'!$F$3:$F$42,13))</f>
        <v/>
      </c>
      <c r="R4" s="18">
        <f>IF(INDEX('الأصناف'!$A$3:$A$42,14)="","",INDEX('الأصناف'!$F$3:$F$42,14))</f>
        <v/>
      </c>
      <c r="S4" s="18">
        <f>IF(INDEX('الأصناف'!$A$3:$A$42,15)="","",INDEX('الأصناف'!$F$3:$F$42,15))</f>
        <v/>
      </c>
      <c r="T4" s="18">
        <f>IF(INDEX('الأصناف'!$A$3:$A$42,16)="","",INDEX('الأصناف'!$F$3:$F$42,16))</f>
        <v/>
      </c>
      <c r="U4" s="18">
        <f>IF(INDEX('الأصناف'!$A$3:$A$42,17)="","",INDEX('الأصناف'!$F$3:$F$42,17))</f>
        <v/>
      </c>
      <c r="V4" s="18">
        <f>IF(INDEX('الأصناف'!$A$3:$A$42,18)="","",INDEX('الأصناف'!$F$3:$F$42,18))</f>
        <v/>
      </c>
      <c r="W4" s="18">
        <f>IF(INDEX('الأصناف'!$A$3:$A$42,19)="","",INDEX('الأصناف'!$F$3:$F$42,19))</f>
        <v/>
      </c>
      <c r="X4" s="18">
        <f>IF(INDEX('الأصناف'!$A$3:$A$42,20)="","",INDEX('الأصناف'!$F$3:$F$42,20))</f>
        <v/>
      </c>
      <c r="Y4" s="18">
        <f>IF(INDEX('الأصناف'!$A$3:$A$42,21)="","",INDEX('الأصناف'!$F$3:$F$42,21))</f>
        <v/>
      </c>
      <c r="Z4" s="18">
        <f>IF(INDEX('الأصناف'!$A$3:$A$42,22)="","",INDEX('الأصناف'!$F$3:$F$42,22))</f>
        <v/>
      </c>
      <c r="AA4" s="18">
        <f>IF(INDEX('الأصناف'!$A$3:$A$42,23)="","",INDEX('الأصناف'!$F$3:$F$42,23))</f>
        <v/>
      </c>
      <c r="AB4" s="18">
        <f>IF(INDEX('الأصناف'!$A$3:$A$42,24)="","",INDEX('الأصناف'!$F$3:$F$42,24))</f>
        <v/>
      </c>
      <c r="AC4" s="18">
        <f>IF(INDEX('الأصناف'!$A$3:$A$42,25)="","",INDEX('الأصناف'!$F$3:$F$42,25))</f>
        <v/>
      </c>
      <c r="AD4" s="18">
        <f>IF(INDEX('الأصناف'!$A$3:$A$42,26)="","",INDEX('الأصناف'!$F$3:$F$42,26))</f>
        <v/>
      </c>
      <c r="AE4" s="18">
        <f>IF(INDEX('الأصناف'!$A$3:$A$42,27)="","",INDEX('الأصناف'!$F$3:$F$42,27))</f>
        <v/>
      </c>
      <c r="AF4" s="18">
        <f>IF(INDEX('الأصناف'!$A$3:$A$42,28)="","",INDEX('الأصناف'!$F$3:$F$42,28))</f>
        <v/>
      </c>
      <c r="AG4" s="18">
        <f>IF(INDEX('الأصناف'!$A$3:$A$42,29)="","",INDEX('الأصناف'!$F$3:$F$42,29))</f>
        <v/>
      </c>
      <c r="AH4" s="18">
        <f>IF(INDEX('الأصناف'!$A$3:$A$42,30)="","",INDEX('الأصناف'!$F$3:$F$42,30))</f>
        <v/>
      </c>
      <c r="AI4" s="18">
        <f>IF(INDEX('الأصناف'!$A$3:$A$42,31)="","",INDEX('الأصناف'!$F$3:$F$42,31))</f>
        <v/>
      </c>
      <c r="AJ4" s="18">
        <f>IF(INDEX('الأصناف'!$A$3:$A$42,32)="","",INDEX('الأصناف'!$F$3:$F$42,32))</f>
        <v/>
      </c>
      <c r="AK4" s="18">
        <f>IF(INDEX('الأصناف'!$A$3:$A$42,33)="","",INDEX('الأصناف'!$F$3:$F$42,33))</f>
        <v/>
      </c>
      <c r="AL4" s="18">
        <f>IF(INDEX('الأصناف'!$A$3:$A$42,34)="","",INDEX('الأصناف'!$F$3:$F$42,34))</f>
        <v/>
      </c>
      <c r="AM4" s="18">
        <f>IF(INDEX('الأصناف'!$A$3:$A$42,35)="","",INDEX('الأصناف'!$F$3:$F$42,35))</f>
        <v/>
      </c>
      <c r="AN4" s="18">
        <f>IF(INDEX('الأصناف'!$A$3:$A$42,36)="","",INDEX('الأصناف'!$F$3:$F$42,36))</f>
        <v/>
      </c>
      <c r="AO4" s="18">
        <f>IF(INDEX('الأصناف'!$A$3:$A$42,37)="","",INDEX('الأصناف'!$F$3:$F$42,37))</f>
        <v/>
      </c>
      <c r="AP4" s="18">
        <f>IF(INDEX('الأصناف'!$A$3:$A$42,38)="","",INDEX('الأصناف'!$F$3:$F$42,38))</f>
        <v/>
      </c>
      <c r="AQ4" s="18">
        <f>IF(INDEX('الأصناف'!$A$3:$A$42,39)="","",INDEX('الأصناف'!$F$3:$F$42,39))</f>
        <v/>
      </c>
      <c r="AR4" s="18">
        <f>IF(INDEX('الأصناف'!$A$3:$A$42,40)="","",INDEX('الأصناف'!$F$3:$F$42,40))</f>
        <v/>
      </c>
    </row>
    <row r="5">
      <c r="A5" s="3" t="inlineStr">
        <is>
          <t>الهدر هذا الشهر</t>
        </is>
      </c>
      <c r="B5" s="15" t="n"/>
      <c r="C5" s="15" t="n"/>
      <c r="D5" s="16" t="n"/>
      <c r="E5" s="19">
        <f>IF(INDEX('الأصناف'!$A$3:$A$42,1)="","",IF('التوقع والهدر'!$P$6="","",MAX(0,'التوقع والهدر'!$P$6)))</f>
        <v/>
      </c>
      <c r="F5" s="19">
        <f>IF(INDEX('الأصناف'!$A$3:$A$42,2)="","",IF('التوقع والهدر'!$P$7="","",MAX(0,'التوقع والهدر'!$P$7)))</f>
        <v/>
      </c>
      <c r="G5" s="19">
        <f>IF(INDEX('الأصناف'!$A$3:$A$42,3)="","",IF('التوقع والهدر'!$P$8="","",MAX(0,'التوقع والهدر'!$P$8)))</f>
        <v/>
      </c>
      <c r="H5" s="19">
        <f>IF(INDEX('الأصناف'!$A$3:$A$42,4)="","",IF('التوقع والهدر'!$P$9="","",MAX(0,'التوقع والهدر'!$P$9)))</f>
        <v/>
      </c>
      <c r="I5" s="19">
        <f>IF(INDEX('الأصناف'!$A$3:$A$42,5)="","",IF('التوقع والهدر'!$P$10="","",MAX(0,'التوقع والهدر'!$P$10)))</f>
        <v/>
      </c>
      <c r="J5" s="19">
        <f>IF(INDEX('الأصناف'!$A$3:$A$42,6)="","",IF('التوقع والهدر'!$P$11="","",MAX(0,'التوقع والهدر'!$P$11)))</f>
        <v/>
      </c>
      <c r="K5" s="19">
        <f>IF(INDEX('الأصناف'!$A$3:$A$42,7)="","",IF('التوقع والهدر'!$P$12="","",MAX(0,'التوقع والهدر'!$P$12)))</f>
        <v/>
      </c>
      <c r="L5" s="19">
        <f>IF(INDEX('الأصناف'!$A$3:$A$42,8)="","",IF('التوقع والهدر'!$P$13="","",MAX(0,'التوقع والهدر'!$P$13)))</f>
        <v/>
      </c>
      <c r="M5" s="19">
        <f>IF(INDEX('الأصناف'!$A$3:$A$42,9)="","",IF('التوقع والهدر'!$P$14="","",MAX(0,'التوقع والهدر'!$P$14)))</f>
        <v/>
      </c>
      <c r="N5" s="19">
        <f>IF(INDEX('الأصناف'!$A$3:$A$42,10)="","",IF('التوقع والهدر'!$P$15="","",MAX(0,'التوقع والهدر'!$P$15)))</f>
        <v/>
      </c>
      <c r="O5" s="19">
        <f>IF(INDEX('الأصناف'!$A$3:$A$42,11)="","",IF('التوقع والهدر'!$P$16="","",MAX(0,'التوقع والهدر'!$P$16)))</f>
        <v/>
      </c>
      <c r="P5" s="19">
        <f>IF(INDEX('الأصناف'!$A$3:$A$42,12)="","",IF('التوقع والهدر'!$P$17="","",MAX(0,'التوقع والهدر'!$P$17)))</f>
        <v/>
      </c>
      <c r="Q5" s="19">
        <f>IF(INDEX('الأصناف'!$A$3:$A$42,13)="","",IF('التوقع والهدر'!$P$18="","",MAX(0,'التوقع والهدر'!$P$18)))</f>
        <v/>
      </c>
      <c r="R5" s="19">
        <f>IF(INDEX('الأصناف'!$A$3:$A$42,14)="","",IF('التوقع والهدر'!$P$19="","",MAX(0,'التوقع والهدر'!$P$19)))</f>
        <v/>
      </c>
      <c r="S5" s="19">
        <f>IF(INDEX('الأصناف'!$A$3:$A$42,15)="","",IF('التوقع والهدر'!$P$20="","",MAX(0,'التوقع والهدر'!$P$20)))</f>
        <v/>
      </c>
      <c r="T5" s="19">
        <f>IF(INDEX('الأصناف'!$A$3:$A$42,16)="","",IF('التوقع والهدر'!$P$21="","",MAX(0,'التوقع والهدر'!$P$21)))</f>
        <v/>
      </c>
      <c r="U5" s="19">
        <f>IF(INDEX('الأصناف'!$A$3:$A$42,17)="","",IF('التوقع والهدر'!$P$22="","",MAX(0,'التوقع والهدر'!$P$22)))</f>
        <v/>
      </c>
      <c r="V5" s="19">
        <f>IF(INDEX('الأصناف'!$A$3:$A$42,18)="","",IF('التوقع والهدر'!$P$23="","",MAX(0,'التوقع والهدر'!$P$23)))</f>
        <v/>
      </c>
      <c r="W5" s="19">
        <f>IF(INDEX('الأصناف'!$A$3:$A$42,19)="","",IF('التوقع والهدر'!$P$24="","",MAX(0,'التوقع والهدر'!$P$24)))</f>
        <v/>
      </c>
      <c r="X5" s="19">
        <f>IF(INDEX('الأصناف'!$A$3:$A$42,20)="","",IF('التوقع والهدر'!$P$25="","",MAX(0,'التوقع والهدر'!$P$25)))</f>
        <v/>
      </c>
      <c r="Y5" s="19">
        <f>IF(INDEX('الأصناف'!$A$3:$A$42,21)="","",IF('التوقع والهدر'!$P$26="","",MAX(0,'التوقع والهدر'!$P$26)))</f>
        <v/>
      </c>
      <c r="Z5" s="19">
        <f>IF(INDEX('الأصناف'!$A$3:$A$42,22)="","",IF('التوقع والهدر'!$P$27="","",MAX(0,'التوقع والهدر'!$P$27)))</f>
        <v/>
      </c>
      <c r="AA5" s="19">
        <f>IF(INDEX('الأصناف'!$A$3:$A$42,23)="","",IF('التوقع والهدر'!$P$28="","",MAX(0,'التوقع والهدر'!$P$28)))</f>
        <v/>
      </c>
      <c r="AB5" s="19">
        <f>IF(INDEX('الأصناف'!$A$3:$A$42,24)="","",IF('التوقع والهدر'!$P$29="","",MAX(0,'التوقع والهدر'!$P$29)))</f>
        <v/>
      </c>
      <c r="AC5" s="19">
        <f>IF(INDEX('الأصناف'!$A$3:$A$42,25)="","",IF('التوقع والهدر'!$P$30="","",MAX(0,'التوقع والهدر'!$P$30)))</f>
        <v/>
      </c>
      <c r="AD5" s="19">
        <f>IF(INDEX('الأصناف'!$A$3:$A$42,26)="","",IF('التوقع والهدر'!$P$31="","",MAX(0,'التوقع والهدر'!$P$31)))</f>
        <v/>
      </c>
      <c r="AE5" s="19">
        <f>IF(INDEX('الأصناف'!$A$3:$A$42,27)="","",IF('التوقع والهدر'!$P$32="","",MAX(0,'التوقع والهدر'!$P$32)))</f>
        <v/>
      </c>
      <c r="AF5" s="19">
        <f>IF(INDEX('الأصناف'!$A$3:$A$42,28)="","",IF('التوقع والهدر'!$P$33="","",MAX(0,'التوقع والهدر'!$P$33)))</f>
        <v/>
      </c>
      <c r="AG5" s="19">
        <f>IF(INDEX('الأصناف'!$A$3:$A$42,29)="","",IF('التوقع والهدر'!$P$34="","",MAX(0,'التوقع والهدر'!$P$34)))</f>
        <v/>
      </c>
      <c r="AH5" s="19">
        <f>IF(INDEX('الأصناف'!$A$3:$A$42,30)="","",IF('التوقع والهدر'!$P$35="","",MAX(0,'التوقع والهدر'!$P$35)))</f>
        <v/>
      </c>
      <c r="AI5" s="19">
        <f>IF(INDEX('الأصناف'!$A$3:$A$42,31)="","",IF('التوقع والهدر'!$P$36="","",MAX(0,'التوقع والهدر'!$P$36)))</f>
        <v/>
      </c>
      <c r="AJ5" s="19">
        <f>IF(INDEX('الأصناف'!$A$3:$A$42,32)="","",IF('التوقع والهدر'!$P$37="","",MAX(0,'التوقع والهدر'!$P$37)))</f>
        <v/>
      </c>
      <c r="AK5" s="19">
        <f>IF(INDEX('الأصناف'!$A$3:$A$42,33)="","",IF('التوقع والهدر'!$P$38="","",MAX(0,'التوقع والهدر'!$P$38)))</f>
        <v/>
      </c>
      <c r="AL5" s="19">
        <f>IF(INDEX('الأصناف'!$A$3:$A$42,34)="","",IF('التوقع والهدر'!$P$39="","",MAX(0,'التوقع والهدر'!$P$39)))</f>
        <v/>
      </c>
      <c r="AM5" s="19">
        <f>IF(INDEX('الأصناف'!$A$3:$A$42,35)="","",IF('التوقع والهدر'!$P$40="","",MAX(0,'التوقع والهدر'!$P$40)))</f>
        <v/>
      </c>
      <c r="AN5" s="19">
        <f>IF(INDEX('الأصناف'!$A$3:$A$42,36)="","",IF('التوقع والهدر'!$P$41="","",MAX(0,'التوقع والهدر'!$P$41)))</f>
        <v/>
      </c>
      <c r="AO5" s="19">
        <f>IF(INDEX('الأصناف'!$A$3:$A$42,37)="","",IF('التوقع والهدر'!$P$42="","",MAX(0,'التوقع والهدر'!$P$42)))</f>
        <v/>
      </c>
      <c r="AP5" s="19">
        <f>IF(INDEX('الأصناف'!$A$3:$A$42,38)="","",IF('التوقع والهدر'!$P$43="","",MAX(0,'التوقع والهدر'!$P$43)))</f>
        <v/>
      </c>
      <c r="AQ5" s="19">
        <f>IF(INDEX('الأصناف'!$A$3:$A$42,39)="","",IF('التوقع والهدر'!$P$44="","",MAX(0,'التوقع والهدر'!$P$44)))</f>
        <v/>
      </c>
      <c r="AR5" s="19">
        <f>IF(INDEX('الأصناف'!$A$3:$A$42,40)="","",IF('التوقع والهدر'!$P$45="","",MAX(0,'التوقع والهدر'!$P$45)))</f>
        <v/>
      </c>
    </row>
    <row r="6" ht="66" customHeight="1">
      <c r="A6" s="7" t="inlineStr">
        <is>
          <t>الخدمة</t>
        </is>
      </c>
      <c r="B6" s="7" t="inlineStr">
        <is>
          <t>السعر</t>
        </is>
      </c>
      <c r="C6" s="7" t="inlineStr">
        <is>
          <t>تكلفة المستهلكات للجلسة</t>
        </is>
      </c>
      <c r="D6" s="7" t="inlineStr">
        <is>
          <t>من السعر</t>
        </is>
      </c>
      <c r="E6" s="7">
        <f>IF(INDEX('الأصناف'!$A$3:$A$42,1)="","",INDEX('الأصناف'!$B$3:$B$42,1))</f>
        <v/>
      </c>
      <c r="F6" s="7">
        <f>IF(INDEX('الأصناف'!$A$3:$A$42,2)="","",INDEX('الأصناف'!$B$3:$B$42,2))</f>
        <v/>
      </c>
      <c r="G6" s="7">
        <f>IF(INDEX('الأصناف'!$A$3:$A$42,3)="","",INDEX('الأصناف'!$B$3:$B$42,3))</f>
        <v/>
      </c>
      <c r="H6" s="7">
        <f>IF(INDEX('الأصناف'!$A$3:$A$42,4)="","",INDEX('الأصناف'!$B$3:$B$42,4))</f>
        <v/>
      </c>
      <c r="I6" s="7">
        <f>IF(INDEX('الأصناف'!$A$3:$A$42,5)="","",INDEX('الأصناف'!$B$3:$B$42,5))</f>
        <v/>
      </c>
      <c r="J6" s="7">
        <f>IF(INDEX('الأصناف'!$A$3:$A$42,6)="","",INDEX('الأصناف'!$B$3:$B$42,6))</f>
        <v/>
      </c>
      <c r="K6" s="7">
        <f>IF(INDEX('الأصناف'!$A$3:$A$42,7)="","",INDEX('الأصناف'!$B$3:$B$42,7))</f>
        <v/>
      </c>
      <c r="L6" s="7">
        <f>IF(INDEX('الأصناف'!$A$3:$A$42,8)="","",INDEX('الأصناف'!$B$3:$B$42,8))</f>
        <v/>
      </c>
      <c r="M6" s="7">
        <f>IF(INDEX('الأصناف'!$A$3:$A$42,9)="","",INDEX('الأصناف'!$B$3:$B$42,9))</f>
        <v/>
      </c>
      <c r="N6" s="7">
        <f>IF(INDEX('الأصناف'!$A$3:$A$42,10)="","",INDEX('الأصناف'!$B$3:$B$42,10))</f>
        <v/>
      </c>
      <c r="O6" s="7">
        <f>IF(INDEX('الأصناف'!$A$3:$A$42,11)="","",INDEX('الأصناف'!$B$3:$B$42,11))</f>
        <v/>
      </c>
      <c r="P6" s="7">
        <f>IF(INDEX('الأصناف'!$A$3:$A$42,12)="","",INDEX('الأصناف'!$B$3:$B$42,12))</f>
        <v/>
      </c>
      <c r="Q6" s="7">
        <f>IF(INDEX('الأصناف'!$A$3:$A$42,13)="","",INDEX('الأصناف'!$B$3:$B$42,13))</f>
        <v/>
      </c>
      <c r="R6" s="7">
        <f>IF(INDEX('الأصناف'!$A$3:$A$42,14)="","",INDEX('الأصناف'!$B$3:$B$42,14))</f>
        <v/>
      </c>
      <c r="S6" s="7">
        <f>IF(INDEX('الأصناف'!$A$3:$A$42,15)="","",INDEX('الأصناف'!$B$3:$B$42,15))</f>
        <v/>
      </c>
      <c r="T6" s="7">
        <f>IF(INDEX('الأصناف'!$A$3:$A$42,16)="","",INDEX('الأصناف'!$B$3:$B$42,16))</f>
        <v/>
      </c>
      <c r="U6" s="7">
        <f>IF(INDEX('الأصناف'!$A$3:$A$42,17)="","",INDEX('الأصناف'!$B$3:$B$42,17))</f>
        <v/>
      </c>
      <c r="V6" s="7">
        <f>IF(INDEX('الأصناف'!$A$3:$A$42,18)="","",INDEX('الأصناف'!$B$3:$B$42,18))</f>
        <v/>
      </c>
      <c r="W6" s="7">
        <f>IF(INDEX('الأصناف'!$A$3:$A$42,19)="","",INDEX('الأصناف'!$B$3:$B$42,19))</f>
        <v/>
      </c>
      <c r="X6" s="7">
        <f>IF(INDEX('الأصناف'!$A$3:$A$42,20)="","",INDEX('الأصناف'!$B$3:$B$42,20))</f>
        <v/>
      </c>
      <c r="Y6" s="7">
        <f>IF(INDEX('الأصناف'!$A$3:$A$42,21)="","",INDEX('الأصناف'!$B$3:$B$42,21))</f>
        <v/>
      </c>
      <c r="Z6" s="7">
        <f>IF(INDEX('الأصناف'!$A$3:$A$42,22)="","",INDEX('الأصناف'!$B$3:$B$42,22))</f>
        <v/>
      </c>
      <c r="AA6" s="7">
        <f>IF(INDEX('الأصناف'!$A$3:$A$42,23)="","",INDEX('الأصناف'!$B$3:$B$42,23))</f>
        <v/>
      </c>
      <c r="AB6" s="7">
        <f>IF(INDEX('الأصناف'!$A$3:$A$42,24)="","",INDEX('الأصناف'!$B$3:$B$42,24))</f>
        <v/>
      </c>
      <c r="AC6" s="7">
        <f>IF(INDEX('الأصناف'!$A$3:$A$42,25)="","",INDEX('الأصناف'!$B$3:$B$42,25))</f>
        <v/>
      </c>
      <c r="AD6" s="7">
        <f>IF(INDEX('الأصناف'!$A$3:$A$42,26)="","",INDEX('الأصناف'!$B$3:$B$42,26))</f>
        <v/>
      </c>
      <c r="AE6" s="7">
        <f>IF(INDEX('الأصناف'!$A$3:$A$42,27)="","",INDEX('الأصناف'!$B$3:$B$42,27))</f>
        <v/>
      </c>
      <c r="AF6" s="7">
        <f>IF(INDEX('الأصناف'!$A$3:$A$42,28)="","",INDEX('الأصناف'!$B$3:$B$42,28))</f>
        <v/>
      </c>
      <c r="AG6" s="7">
        <f>IF(INDEX('الأصناف'!$A$3:$A$42,29)="","",INDEX('الأصناف'!$B$3:$B$42,29))</f>
        <v/>
      </c>
      <c r="AH6" s="7">
        <f>IF(INDEX('الأصناف'!$A$3:$A$42,30)="","",INDEX('الأصناف'!$B$3:$B$42,30))</f>
        <v/>
      </c>
      <c r="AI6" s="7">
        <f>IF(INDEX('الأصناف'!$A$3:$A$42,31)="","",INDEX('الأصناف'!$B$3:$B$42,31))</f>
        <v/>
      </c>
      <c r="AJ6" s="7">
        <f>IF(INDEX('الأصناف'!$A$3:$A$42,32)="","",INDEX('الأصناف'!$B$3:$B$42,32))</f>
        <v/>
      </c>
      <c r="AK6" s="7">
        <f>IF(INDEX('الأصناف'!$A$3:$A$42,33)="","",INDEX('الأصناف'!$B$3:$B$42,33))</f>
        <v/>
      </c>
      <c r="AL6" s="7">
        <f>IF(INDEX('الأصناف'!$A$3:$A$42,34)="","",INDEX('الأصناف'!$B$3:$B$42,34))</f>
        <v/>
      </c>
      <c r="AM6" s="7">
        <f>IF(INDEX('الأصناف'!$A$3:$A$42,35)="","",INDEX('الأصناف'!$B$3:$B$42,35))</f>
        <v/>
      </c>
      <c r="AN6" s="7">
        <f>IF(INDEX('الأصناف'!$A$3:$A$42,36)="","",INDEX('الأصناف'!$B$3:$B$42,36))</f>
        <v/>
      </c>
      <c r="AO6" s="7">
        <f>IF(INDEX('الأصناف'!$A$3:$A$42,37)="","",INDEX('الأصناف'!$B$3:$B$42,37))</f>
        <v/>
      </c>
      <c r="AP6" s="7">
        <f>IF(INDEX('الأصناف'!$A$3:$A$42,38)="","",INDEX('الأصناف'!$B$3:$B$42,38))</f>
        <v/>
      </c>
      <c r="AQ6" s="7">
        <f>IF(INDEX('الأصناف'!$A$3:$A$42,39)="","",INDEX('الأصناف'!$B$3:$B$42,39))</f>
        <v/>
      </c>
      <c r="AR6" s="7">
        <f>IF(INDEX('الأصناف'!$A$3:$A$42,40)="","",INDEX('الأصناف'!$B$3:$B$42,40))</f>
        <v/>
      </c>
    </row>
    <row r="7">
      <c r="A7" s="4" t="inlineStr">
        <is>
          <t>كشف استشاري</t>
        </is>
      </c>
      <c r="B7" s="12" t="n">
        <v>350</v>
      </c>
      <c r="C7" s="20">
        <f>IF($A7="","",SUMPRODUCT($E7:$AR7,$E$3:$AR$3))</f>
        <v/>
      </c>
      <c r="D7" s="19">
        <f>IF(OR($A7="",$B7=""),"",IFERROR($C7/$B7,""))</f>
        <v/>
      </c>
      <c r="E7" s="21" t="n">
        <v>1</v>
      </c>
      <c r="F7" s="21" t="n"/>
      <c r="G7" s="21" t="n"/>
      <c r="H7" s="21" t="n">
        <v>1</v>
      </c>
      <c r="I7" s="21" t="n"/>
      <c r="J7" s="21" t="n"/>
      <c r="K7" s="21" t="n"/>
      <c r="L7" s="21" t="n"/>
      <c r="M7" s="21" t="n"/>
      <c r="N7" s="21" t="n"/>
      <c r="O7" s="21" t="n">
        <v>1</v>
      </c>
      <c r="P7" s="21" t="n"/>
      <c r="Q7" s="21" t="n"/>
      <c r="R7" s="21" t="n"/>
      <c r="S7" s="21" t="n">
        <v>3</v>
      </c>
      <c r="T7" s="21" t="n"/>
      <c r="U7" s="21" t="n"/>
      <c r="V7" s="21" t="n"/>
      <c r="W7" s="21" t="n"/>
      <c r="X7" s="21" t="n"/>
      <c r="Y7" s="21" t="n"/>
      <c r="Z7" s="21" t="n"/>
      <c r="AA7" s="21" t="n"/>
      <c r="AB7" s="21" t="n"/>
      <c r="AC7" s="21" t="n"/>
      <c r="AD7" s="21" t="n"/>
      <c r="AE7" s="21" t="n"/>
      <c r="AF7" s="21" t="n"/>
      <c r="AG7" s="21" t="n"/>
      <c r="AH7" s="21" t="n"/>
      <c r="AI7" s="21" t="n"/>
      <c r="AJ7" s="21" t="n"/>
      <c r="AK7" s="21" t="n"/>
      <c r="AL7" s="21" t="n"/>
      <c r="AM7" s="21" t="n"/>
      <c r="AN7" s="21" t="n"/>
      <c r="AO7" s="21" t="n"/>
      <c r="AP7" s="21" t="n"/>
      <c r="AQ7" s="21" t="n"/>
      <c r="AR7" s="21" t="n"/>
    </row>
    <row r="8">
      <c r="A8" s="4" t="inlineStr">
        <is>
          <t>كشف متابعة</t>
        </is>
      </c>
      <c r="B8" s="12" t="n">
        <v>150</v>
      </c>
      <c r="C8" s="20">
        <f>IF($A8="","",SUMPRODUCT($E8:$AR8,$E$3:$AR$3))</f>
        <v/>
      </c>
      <c r="D8" s="19">
        <f>IF(OR($A8="",$B8=""),"",IFERROR($C8/$B8,""))</f>
        <v/>
      </c>
      <c r="E8" s="21" t="n">
        <v>1</v>
      </c>
      <c r="F8" s="21" t="n"/>
      <c r="G8" s="21" t="n"/>
      <c r="H8" s="21" t="n"/>
      <c r="I8" s="21" t="n"/>
      <c r="J8" s="21" t="n"/>
      <c r="K8" s="21" t="n"/>
      <c r="L8" s="21" t="n"/>
      <c r="M8" s="21" t="n"/>
      <c r="N8" s="21" t="n"/>
      <c r="O8" s="21" t="n">
        <v>1</v>
      </c>
      <c r="P8" s="21" t="n"/>
      <c r="Q8" s="21" t="n"/>
      <c r="R8" s="21" t="n"/>
      <c r="S8" s="21" t="n">
        <v>3</v>
      </c>
      <c r="T8" s="21" t="n"/>
      <c r="U8" s="21" t="n"/>
      <c r="V8" s="21" t="n"/>
      <c r="W8" s="21" t="n"/>
      <c r="X8" s="21" t="n"/>
      <c r="Y8" s="21" t="n"/>
      <c r="Z8" s="21" t="n"/>
      <c r="AA8" s="21" t="n"/>
      <c r="AB8" s="21" t="n"/>
      <c r="AC8" s="21" t="n"/>
      <c r="AD8" s="21" t="n"/>
      <c r="AE8" s="21" t="n"/>
      <c r="AF8" s="21" t="n"/>
      <c r="AG8" s="21" t="n"/>
      <c r="AH8" s="21" t="n"/>
      <c r="AI8" s="21" t="n"/>
      <c r="AJ8" s="21" t="n"/>
      <c r="AK8" s="21" t="n"/>
      <c r="AL8" s="21" t="n"/>
      <c r="AM8" s="21" t="n"/>
      <c r="AN8" s="21" t="n"/>
      <c r="AO8" s="21" t="n"/>
      <c r="AP8" s="21" t="n"/>
      <c r="AQ8" s="21" t="n"/>
      <c r="AR8" s="21" t="n"/>
    </row>
    <row r="9">
      <c r="A9" s="4" t="inlineStr">
        <is>
          <t>ليزر إزالة الشعر - الوجه</t>
        </is>
      </c>
      <c r="B9" s="12" t="n">
        <v>600</v>
      </c>
      <c r="C9" s="20">
        <f>IF($A9="","",SUMPRODUCT($E9:$AR9,$E$3:$AR$3))</f>
        <v/>
      </c>
      <c r="D9" s="19">
        <f>IF(OR($A9="",$B9=""),"",IFERROR($C9/$B9,""))</f>
        <v/>
      </c>
      <c r="E9" s="21" t="n">
        <v>1</v>
      </c>
      <c r="F9" s="21" t="n"/>
      <c r="G9" s="21" t="n"/>
      <c r="H9" s="21" t="n"/>
      <c r="I9" s="21" t="n"/>
      <c r="J9" s="21" t="n"/>
      <c r="K9" s="21" t="n"/>
      <c r="L9" s="21" t="n"/>
      <c r="M9" s="21" t="n">
        <v>40</v>
      </c>
      <c r="N9" s="21" t="n"/>
      <c r="O9" s="21" t="n">
        <v>1</v>
      </c>
      <c r="P9" s="21" t="n">
        <v>4</v>
      </c>
      <c r="Q9" s="21" t="n"/>
      <c r="R9" s="21" t="n">
        <v>10</v>
      </c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>
        <v>0.2</v>
      </c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</row>
    <row r="10">
      <c r="A10" s="4" t="inlineStr">
        <is>
          <t>ليزر إزالة الشعر - الساقان</t>
        </is>
      </c>
      <c r="B10" s="12" t="n">
        <v>1200</v>
      </c>
      <c r="C10" s="20">
        <f>IF($A10="","",SUMPRODUCT($E10:$AR10,$E$3:$AR$3))</f>
        <v/>
      </c>
      <c r="D10" s="19">
        <f>IF(OR($A10="",$B10=""),"",IFERROR($C10/$B10,""))</f>
        <v/>
      </c>
      <c r="E10" s="21" t="n">
        <v>2</v>
      </c>
      <c r="F10" s="21" t="n"/>
      <c r="G10" s="21" t="n"/>
      <c r="H10" s="21" t="n"/>
      <c r="I10" s="21" t="n"/>
      <c r="J10" s="21" t="n"/>
      <c r="K10" s="21" t="n"/>
      <c r="L10" s="21" t="n"/>
      <c r="M10" s="21" t="n">
        <v>150</v>
      </c>
      <c r="N10" s="21" t="n"/>
      <c r="O10" s="21" t="n">
        <v>1</v>
      </c>
      <c r="P10" s="21" t="n"/>
      <c r="Q10" s="21" t="n"/>
      <c r="R10" s="21" t="n">
        <v>15</v>
      </c>
      <c r="S10" s="21" t="n"/>
      <c r="T10" s="21" t="n"/>
      <c r="U10" s="21" t="n"/>
      <c r="V10" s="21" t="n"/>
      <c r="W10" s="21" t="n"/>
      <c r="X10" s="21" t="n"/>
      <c r="Y10" s="21" t="n"/>
      <c r="Z10" s="21" t="n"/>
      <c r="AA10" s="21" t="n"/>
      <c r="AB10" s="21" t="n"/>
      <c r="AC10" s="21" t="n"/>
      <c r="AD10" s="21" t="n"/>
      <c r="AE10" s="21" t="n"/>
      <c r="AF10" s="21" t="n"/>
      <c r="AG10" s="21" t="n">
        <v>0.2</v>
      </c>
      <c r="AH10" s="21" t="n"/>
      <c r="AI10" s="21" t="n"/>
      <c r="AJ10" s="21" t="n"/>
      <c r="AK10" s="21" t="n"/>
      <c r="AL10" s="21" t="n"/>
      <c r="AM10" s="21" t="n"/>
      <c r="AN10" s="21" t="n"/>
      <c r="AO10" s="21" t="n"/>
      <c r="AP10" s="21" t="n"/>
      <c r="AQ10" s="21" t="n"/>
      <c r="AR10" s="21" t="n"/>
    </row>
    <row r="11">
      <c r="A11" s="4" t="inlineStr">
        <is>
          <t>ليزر إزالة الشعر - الإبط</t>
        </is>
      </c>
      <c r="B11" s="12" t="n">
        <v>400</v>
      </c>
      <c r="C11" s="20">
        <f>IF($A11="","",SUMPRODUCT($E11:$AR11,$E$3:$AR$3))</f>
        <v/>
      </c>
      <c r="D11" s="19">
        <f>IF(OR($A11="",$B11=""),"",IFERROR($C11/$B11,""))</f>
        <v/>
      </c>
      <c r="E11" s="21" t="n">
        <v>1</v>
      </c>
      <c r="F11" s="21" t="n"/>
      <c r="G11" s="21" t="n"/>
      <c r="H11" s="21" t="n"/>
      <c r="I11" s="21" t="n"/>
      <c r="J11" s="21" t="n"/>
      <c r="K11" s="21" t="n"/>
      <c r="L11" s="21" t="n"/>
      <c r="M11" s="21" t="n">
        <v>25</v>
      </c>
      <c r="N11" s="21" t="n"/>
      <c r="O11" s="21" t="n">
        <v>1</v>
      </c>
      <c r="P11" s="21" t="n">
        <v>2</v>
      </c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</row>
    <row r="12">
      <c r="A12" s="4" t="inlineStr">
        <is>
          <t>ليزر إن دي ياغ للتصبغات</t>
        </is>
      </c>
      <c r="B12" s="12" t="n">
        <v>800</v>
      </c>
      <c r="C12" s="20">
        <f>IF($A12="","",SUMPRODUCT($E12:$AR12,$E$3:$AR$3))</f>
        <v/>
      </c>
      <c r="D12" s="19">
        <f>IF(OR($A12="",$B12=""),"",IFERROR($C12/$B12,""))</f>
        <v/>
      </c>
      <c r="E12" s="21" t="n">
        <v>1</v>
      </c>
      <c r="F12" s="21" t="n"/>
      <c r="G12" s="21" t="n">
        <v>4</v>
      </c>
      <c r="H12" s="21" t="n"/>
      <c r="I12" s="21" t="n"/>
      <c r="J12" s="21" t="n"/>
      <c r="K12" s="21" t="n"/>
      <c r="L12" s="21" t="n"/>
      <c r="M12" s="21" t="n">
        <v>30</v>
      </c>
      <c r="N12" s="21" t="n"/>
      <c r="O12" s="21" t="n">
        <v>1</v>
      </c>
      <c r="P12" s="21" t="n"/>
      <c r="Q12" s="21" t="n"/>
      <c r="R12" s="21" t="n"/>
      <c r="S12" s="21" t="n"/>
      <c r="T12" s="21" t="n">
        <v>5</v>
      </c>
      <c r="U12" s="21" t="n"/>
      <c r="V12" s="21" t="n"/>
      <c r="W12" s="21" t="n"/>
      <c r="X12" s="21" t="n"/>
      <c r="Y12" s="21" t="n"/>
      <c r="Z12" s="21" t="n"/>
      <c r="AA12" s="21" t="n"/>
      <c r="AB12" s="21" t="n"/>
      <c r="AC12" s="21" t="n"/>
      <c r="AD12" s="21" t="n"/>
      <c r="AE12" s="21" t="n"/>
      <c r="AF12" s="21" t="n"/>
      <c r="AG12" s="21" t="n"/>
      <c r="AH12" s="21" t="n"/>
      <c r="AI12" s="21" t="n"/>
      <c r="AJ12" s="21" t="n"/>
      <c r="AK12" s="21" t="n"/>
      <c r="AL12" s="21" t="n"/>
      <c r="AM12" s="21" t="n"/>
      <c r="AN12" s="21" t="n"/>
      <c r="AO12" s="21" t="n"/>
      <c r="AP12" s="21" t="n"/>
      <c r="AQ12" s="21" t="n"/>
      <c r="AR12" s="21" t="n"/>
    </row>
    <row r="13">
      <c r="A13" s="4" t="inlineStr">
        <is>
          <t>حقن فيلر 1 مل</t>
        </is>
      </c>
      <c r="B13" s="12" t="n">
        <v>1800</v>
      </c>
      <c r="C13" s="20">
        <f>IF($A13="","",SUMPRODUCT($E13:$AR13,$E$3:$AR$3))</f>
        <v/>
      </c>
      <c r="D13" s="19">
        <f>IF(OR($A13="",$B13=""),"",IFERROR($C13/$B13,""))</f>
        <v/>
      </c>
      <c r="E13" s="21" t="n">
        <v>2</v>
      </c>
      <c r="F13" s="21" t="n">
        <v>1</v>
      </c>
      <c r="G13" s="21" t="n">
        <v>4</v>
      </c>
      <c r="H13" s="21" t="n">
        <v>4</v>
      </c>
      <c r="I13" s="21" t="n"/>
      <c r="J13" s="21" t="n"/>
      <c r="K13" s="21" t="n">
        <v>2</v>
      </c>
      <c r="L13" s="21" t="n">
        <v>1</v>
      </c>
      <c r="M13" s="21" t="n"/>
      <c r="N13" s="21" t="n"/>
      <c r="O13" s="21" t="n">
        <v>1</v>
      </c>
      <c r="P13" s="21" t="n"/>
      <c r="Q13" s="21" t="n"/>
      <c r="R13" s="21" t="n"/>
      <c r="S13" s="21" t="n"/>
      <c r="T13" s="21" t="n">
        <v>5</v>
      </c>
      <c r="U13" s="21" t="n">
        <v>10</v>
      </c>
      <c r="V13" s="21" t="n">
        <v>1</v>
      </c>
      <c r="W13" s="21" t="n"/>
      <c r="X13" s="21" t="n"/>
      <c r="Y13" s="21" t="n"/>
      <c r="Z13" s="21" t="n"/>
      <c r="AA13" s="21" t="n"/>
      <c r="AB13" s="21" t="n"/>
      <c r="AC13" s="21" t="n"/>
      <c r="AD13" s="21" t="n"/>
      <c r="AE13" s="21" t="n"/>
      <c r="AF13" s="21" t="n"/>
      <c r="AG13" s="21" t="n"/>
      <c r="AH13" s="21" t="n">
        <v>0.02</v>
      </c>
      <c r="AI13" s="21" t="n"/>
      <c r="AJ13" s="21" t="n"/>
      <c r="AK13" s="21" t="n"/>
      <c r="AL13" s="21" t="n"/>
      <c r="AM13" s="21" t="n"/>
      <c r="AN13" s="21" t="n"/>
      <c r="AO13" s="21" t="n"/>
      <c r="AP13" s="21" t="n"/>
      <c r="AQ13" s="21" t="n"/>
      <c r="AR13" s="21" t="n"/>
    </row>
    <row r="14">
      <c r="A14" s="4" t="inlineStr">
        <is>
          <t>بوتوكس</t>
        </is>
      </c>
      <c r="B14" s="12" t="n">
        <v>1500</v>
      </c>
      <c r="C14" s="20">
        <f>IF($A14="","",SUMPRODUCT($E14:$AR14,$E$3:$AR$3))</f>
        <v/>
      </c>
      <c r="D14" s="19">
        <f>IF(OR($A14="",$B14=""),"",IFERROR($C14/$B14,""))</f>
        <v/>
      </c>
      <c r="E14" s="21" t="n">
        <v>1</v>
      </c>
      <c r="F14" s="21" t="n">
        <v>1</v>
      </c>
      <c r="G14" s="21" t="n">
        <v>2</v>
      </c>
      <c r="H14" s="21" t="n">
        <v>4</v>
      </c>
      <c r="I14" s="21" t="n"/>
      <c r="J14" s="21" t="n">
        <v>2</v>
      </c>
      <c r="K14" s="21" t="n">
        <v>3</v>
      </c>
      <c r="L14" s="21" t="n"/>
      <c r="M14" s="21" t="n"/>
      <c r="N14" s="21" t="n"/>
      <c r="O14" s="21" t="n">
        <v>1</v>
      </c>
      <c r="P14" s="21" t="n"/>
      <c r="Q14" s="21" t="n"/>
      <c r="R14" s="21" t="n"/>
      <c r="S14" s="21" t="n"/>
      <c r="T14" s="21" t="n"/>
      <c r="U14" s="21" t="n"/>
      <c r="V14" s="21" t="n"/>
      <c r="W14" s="21" t="n">
        <v>50</v>
      </c>
      <c r="X14" s="21" t="n"/>
      <c r="Y14" s="21" t="n"/>
      <c r="Z14" s="21" t="n"/>
      <c r="AA14" s="21" t="n"/>
      <c r="AB14" s="21" t="n"/>
      <c r="AC14" s="21" t="n"/>
      <c r="AD14" s="21" t="n"/>
      <c r="AE14" s="21" t="n"/>
      <c r="AF14" s="21" t="n"/>
      <c r="AG14" s="21" t="n"/>
      <c r="AH14" s="21" t="n">
        <v>0.02</v>
      </c>
      <c r="AI14" s="21" t="n"/>
      <c r="AJ14" s="21" t="n"/>
      <c r="AK14" s="21" t="n"/>
      <c r="AL14" s="21" t="n"/>
      <c r="AM14" s="21" t="n"/>
      <c r="AN14" s="21" t="n"/>
      <c r="AO14" s="21" t="n"/>
      <c r="AP14" s="21" t="n"/>
      <c r="AQ14" s="21" t="n"/>
      <c r="AR14" s="21" t="n"/>
    </row>
    <row r="15">
      <c r="A15" s="4" t="inlineStr">
        <is>
          <t>معزز البشرة</t>
        </is>
      </c>
      <c r="B15" s="12" t="n">
        <v>1300</v>
      </c>
      <c r="C15" s="20">
        <f>IF($A15="","",SUMPRODUCT($E15:$AR15,$E$3:$AR$3))</f>
        <v/>
      </c>
      <c r="D15" s="19">
        <f>IF(OR($A15="",$B15=""),"",IFERROR($C15/$B15,""))</f>
        <v/>
      </c>
      <c r="E15" s="21" t="n">
        <v>1</v>
      </c>
      <c r="F15" s="21" t="n">
        <v>1</v>
      </c>
      <c r="G15" s="21" t="n">
        <v>3</v>
      </c>
      <c r="H15" s="21" t="n">
        <v>4</v>
      </c>
      <c r="I15" s="21" t="n"/>
      <c r="J15" s="21" t="n"/>
      <c r="K15" s="21" t="n">
        <v>2</v>
      </c>
      <c r="L15" s="21" t="n"/>
      <c r="M15" s="21" t="n"/>
      <c r="N15" s="21" t="n"/>
      <c r="O15" s="21" t="n">
        <v>1</v>
      </c>
      <c r="P15" s="21" t="n"/>
      <c r="Q15" s="21" t="n"/>
      <c r="R15" s="21" t="n"/>
      <c r="S15" s="21" t="n"/>
      <c r="T15" s="21" t="n">
        <v>5</v>
      </c>
      <c r="U15" s="21" t="n"/>
      <c r="V15" s="21" t="n"/>
      <c r="W15" s="21" t="n"/>
      <c r="X15" s="21" t="n">
        <v>1</v>
      </c>
      <c r="Y15" s="21" t="n"/>
      <c r="Z15" s="21" t="n"/>
      <c r="AA15" s="21" t="n"/>
      <c r="AB15" s="21" t="n"/>
      <c r="AC15" s="21" t="n"/>
      <c r="AD15" s="21" t="n"/>
      <c r="AE15" s="21" t="n"/>
      <c r="AF15" s="21" t="n"/>
      <c r="AG15" s="21" t="n"/>
      <c r="AH15" s="21" t="n"/>
      <c r="AI15" s="21" t="n"/>
      <c r="AJ15" s="21" t="n"/>
      <c r="AK15" s="21" t="n"/>
      <c r="AL15" s="21" t="n"/>
      <c r="AM15" s="21" t="n"/>
      <c r="AN15" s="21" t="n"/>
      <c r="AO15" s="21" t="n"/>
      <c r="AP15" s="21" t="n"/>
      <c r="AQ15" s="21" t="n"/>
      <c r="AR15" s="21" t="n"/>
    </row>
    <row r="16">
      <c r="A16" s="4" t="inlineStr">
        <is>
          <t>بلازما الوجه PRP</t>
        </is>
      </c>
      <c r="B16" s="12" t="n">
        <v>1100</v>
      </c>
      <c r="C16" s="20">
        <f>IF($A16="","",SUMPRODUCT($E16:$AR16,$E$3:$AR$3))</f>
        <v/>
      </c>
      <c r="D16" s="19">
        <f>IF(OR($A16="",$B16=""),"",IFERROR($C16/$B16,""))</f>
        <v/>
      </c>
      <c r="E16" s="21" t="n">
        <v>2</v>
      </c>
      <c r="F16" s="21" t="n">
        <v>1</v>
      </c>
      <c r="G16" s="21" t="n">
        <v>4</v>
      </c>
      <c r="H16" s="21" t="n"/>
      <c r="I16" s="21" t="n">
        <v>1</v>
      </c>
      <c r="J16" s="21" t="n"/>
      <c r="K16" s="21" t="n">
        <v>3</v>
      </c>
      <c r="L16" s="21" t="n"/>
      <c r="M16" s="21" t="n"/>
      <c r="N16" s="21" t="n"/>
      <c r="O16" s="21" t="n">
        <v>1</v>
      </c>
      <c r="P16" s="21" t="n"/>
      <c r="Q16" s="21" t="n"/>
      <c r="R16" s="21" t="n"/>
      <c r="S16" s="21" t="n"/>
      <c r="T16" s="21" t="n">
        <v>5</v>
      </c>
      <c r="U16" s="21" t="n"/>
      <c r="V16" s="21" t="n"/>
      <c r="W16" s="21" t="n"/>
      <c r="X16" s="21" t="n"/>
      <c r="Y16" s="21" t="n">
        <v>1</v>
      </c>
      <c r="Z16" s="21" t="n"/>
      <c r="AA16" s="21" t="n"/>
      <c r="AB16" s="21" t="n"/>
      <c r="AC16" s="21" t="n"/>
      <c r="AD16" s="21" t="n"/>
      <c r="AE16" s="21" t="n"/>
      <c r="AF16" s="21" t="n"/>
      <c r="AG16" s="21" t="n"/>
      <c r="AH16" s="21" t="n">
        <v>0.02</v>
      </c>
      <c r="AI16" s="21" t="n"/>
      <c r="AJ16" s="21" t="n"/>
      <c r="AK16" s="21" t="n"/>
      <c r="AL16" s="21" t="n"/>
      <c r="AM16" s="21" t="n"/>
      <c r="AN16" s="21" t="n"/>
      <c r="AO16" s="21" t="n"/>
      <c r="AP16" s="21" t="n"/>
      <c r="AQ16" s="21" t="n"/>
      <c r="AR16" s="21" t="n"/>
    </row>
    <row r="17">
      <c r="A17" s="4" t="inlineStr">
        <is>
          <t>ميزوثيرابي فيتامين C</t>
        </is>
      </c>
      <c r="B17" s="12" t="n">
        <v>500</v>
      </c>
      <c r="C17" s="20">
        <f>IF($A17="","",SUMPRODUCT($E17:$AR17,$E$3:$AR$3))</f>
        <v/>
      </c>
      <c r="D17" s="19">
        <f>IF(OR($A17="",$B17=""),"",IFERROR($C17/$B17,""))</f>
        <v/>
      </c>
      <c r="E17" s="21" t="n">
        <v>1</v>
      </c>
      <c r="F17" s="21" t="n"/>
      <c r="G17" s="21" t="n"/>
      <c r="H17" s="21" t="n">
        <v>3</v>
      </c>
      <c r="I17" s="21" t="n"/>
      <c r="J17" s="21" t="n">
        <v>2</v>
      </c>
      <c r="K17" s="21" t="n">
        <v>2</v>
      </c>
      <c r="L17" s="21" t="n"/>
      <c r="M17" s="21" t="n"/>
      <c r="N17" s="21" t="n"/>
      <c r="O17" s="21" t="n">
        <v>1</v>
      </c>
      <c r="P17" s="21" t="n"/>
      <c r="Q17" s="21" t="n"/>
      <c r="R17" s="21" t="n"/>
      <c r="S17" s="21" t="n"/>
      <c r="T17" s="21" t="n"/>
      <c r="U17" s="21" t="n"/>
      <c r="V17" s="21" t="n"/>
      <c r="W17" s="21" t="n"/>
      <c r="X17" s="21" t="n"/>
      <c r="Y17" s="21" t="n"/>
      <c r="Z17" s="21" t="n">
        <v>2</v>
      </c>
      <c r="AA17" s="21" t="n"/>
      <c r="AB17" s="21" t="n"/>
      <c r="AC17" s="21" t="n"/>
      <c r="AD17" s="21" t="n"/>
      <c r="AE17" s="21" t="n"/>
      <c r="AF17" s="21" t="n"/>
      <c r="AG17" s="21" t="n"/>
      <c r="AH17" s="21" t="n"/>
      <c r="AI17" s="21" t="n"/>
      <c r="AJ17" s="21" t="n"/>
      <c r="AK17" s="21" t="n"/>
      <c r="AL17" s="21" t="n"/>
      <c r="AM17" s="21" t="n"/>
      <c r="AN17" s="21" t="n"/>
      <c r="AO17" s="21" t="n"/>
      <c r="AP17" s="21" t="n"/>
      <c r="AQ17" s="21" t="n"/>
      <c r="AR17" s="21" t="n"/>
    </row>
    <row r="18">
      <c r="A18" s="4" t="inlineStr">
        <is>
          <t>ميزوثيرابي الشعر</t>
        </is>
      </c>
      <c r="B18" s="12" t="n">
        <v>600</v>
      </c>
      <c r="C18" s="20">
        <f>IF($A18="","",SUMPRODUCT($E18:$AR18,$E$3:$AR$3))</f>
        <v/>
      </c>
      <c r="D18" s="19">
        <f>IF(OR($A18="",$B18=""),"",IFERROR($C18/$B18,""))</f>
        <v/>
      </c>
      <c r="E18" s="21" t="n">
        <v>1</v>
      </c>
      <c r="F18" s="21" t="n"/>
      <c r="G18" s="21" t="n"/>
      <c r="H18" s="21" t="n">
        <v>3</v>
      </c>
      <c r="I18" s="21" t="n">
        <v>1</v>
      </c>
      <c r="J18" s="21" t="n"/>
      <c r="K18" s="21" t="n">
        <v>4</v>
      </c>
      <c r="L18" s="21" t="n"/>
      <c r="M18" s="21" t="n"/>
      <c r="N18" s="21" t="n"/>
      <c r="O18" s="21" t="n">
        <v>1</v>
      </c>
      <c r="P18" s="21" t="n"/>
      <c r="Q18" s="21" t="n"/>
      <c r="R18" s="21" t="n"/>
      <c r="S18" s="21" t="n"/>
      <c r="T18" s="21" t="n"/>
      <c r="U18" s="21" t="n"/>
      <c r="V18" s="21" t="n"/>
      <c r="W18" s="21" t="n"/>
      <c r="X18" s="21" t="n"/>
      <c r="Y18" s="21" t="n"/>
      <c r="Z18" s="21" t="n"/>
      <c r="AA18" s="21" t="n">
        <v>5</v>
      </c>
      <c r="AB18" s="21" t="n"/>
      <c r="AC18" s="21" t="n"/>
      <c r="AD18" s="21" t="n"/>
      <c r="AE18" s="21" t="n"/>
      <c r="AF18" s="21" t="n"/>
      <c r="AG18" s="21" t="n"/>
      <c r="AH18" s="21" t="n"/>
      <c r="AI18" s="21" t="n"/>
      <c r="AJ18" s="21" t="n"/>
      <c r="AK18" s="21" t="n"/>
      <c r="AL18" s="21" t="n"/>
      <c r="AM18" s="21" t="n"/>
      <c r="AN18" s="21" t="n"/>
      <c r="AO18" s="21" t="n"/>
      <c r="AP18" s="21" t="n"/>
      <c r="AQ18" s="21" t="n"/>
      <c r="AR18" s="21" t="n"/>
    </row>
    <row r="19">
      <c r="A19" s="4" t="inlineStr">
        <is>
          <t>ميكرونيدلنج</t>
        </is>
      </c>
      <c r="B19" s="12" t="n">
        <v>900</v>
      </c>
      <c r="C19" s="20">
        <f>IF($A19="","",SUMPRODUCT($E19:$AR19,$E$3:$AR$3))</f>
        <v/>
      </c>
      <c r="D19" s="19">
        <f>IF(OR($A19="",$B19=""),"",IFERROR($C19/$B19,""))</f>
        <v/>
      </c>
      <c r="E19" s="21" t="n">
        <v>2</v>
      </c>
      <c r="F19" s="21" t="n">
        <v>1</v>
      </c>
      <c r="G19" s="21" t="n">
        <v>6</v>
      </c>
      <c r="H19" s="21" t="n"/>
      <c r="I19" s="21" t="n"/>
      <c r="J19" s="21" t="n"/>
      <c r="K19" s="21" t="n"/>
      <c r="L19" s="21" t="n"/>
      <c r="M19" s="21" t="n"/>
      <c r="N19" s="21" t="n"/>
      <c r="O19" s="21" t="n">
        <v>1</v>
      </c>
      <c r="P19" s="21" t="n"/>
      <c r="Q19" s="21" t="n"/>
      <c r="R19" s="21" t="n"/>
      <c r="S19" s="21" t="n"/>
      <c r="T19" s="21" t="n">
        <v>8</v>
      </c>
      <c r="U19" s="21" t="n">
        <v>10</v>
      </c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>
        <v>1</v>
      </c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1" t="n"/>
    </row>
    <row r="20">
      <c r="A20" s="4" t="inlineStr">
        <is>
          <t>تقشير كيميائي</t>
        </is>
      </c>
      <c r="B20" s="12" t="n">
        <v>800</v>
      </c>
      <c r="C20" s="20">
        <f>IF($A20="","",SUMPRODUCT($E20:$AR20,$E$3:$AR$3))</f>
        <v/>
      </c>
      <c r="D20" s="19">
        <f>IF(OR($A20="",$B20=""),"",IFERROR($C20/$B20,""))</f>
        <v/>
      </c>
      <c r="E20" s="21" t="n">
        <v>1</v>
      </c>
      <c r="F20" s="21" t="n"/>
      <c r="G20" s="21" t="n">
        <v>2</v>
      </c>
      <c r="H20" s="21" t="n"/>
      <c r="I20" s="21" t="n"/>
      <c r="J20" s="21" t="n"/>
      <c r="K20" s="21" t="n"/>
      <c r="L20" s="21" t="n"/>
      <c r="M20" s="21" t="n"/>
      <c r="N20" s="21" t="n"/>
      <c r="O20" s="21" t="n">
        <v>1</v>
      </c>
      <c r="P20" s="21" t="n">
        <v>6</v>
      </c>
      <c r="Q20" s="21" t="n"/>
      <c r="R20" s="21" t="n"/>
      <c r="S20" s="21" t="n"/>
      <c r="T20" s="21" t="n"/>
      <c r="U20" s="21" t="n"/>
      <c r="V20" s="21" t="n"/>
      <c r="W20" s="21" t="n"/>
      <c r="X20" s="21" t="n"/>
      <c r="Y20" s="21" t="n"/>
      <c r="Z20" s="21" t="n"/>
      <c r="AA20" s="21" t="n"/>
      <c r="AB20" s="21" t="n"/>
      <c r="AC20" s="21" t="n"/>
      <c r="AD20" s="21" t="n"/>
      <c r="AE20" s="21" t="n"/>
      <c r="AF20" s="21" t="n">
        <v>4</v>
      </c>
      <c r="AG20" s="21" t="n"/>
      <c r="AH20" s="21" t="n"/>
      <c r="AI20" s="21" t="n"/>
      <c r="AJ20" s="21" t="n"/>
      <c r="AK20" s="21" t="n"/>
      <c r="AL20" s="21" t="n"/>
      <c r="AM20" s="21" t="n"/>
      <c r="AN20" s="21" t="n"/>
      <c r="AO20" s="21" t="n"/>
      <c r="AP20" s="21" t="n"/>
      <c r="AQ20" s="21" t="n"/>
      <c r="AR20" s="21" t="n"/>
    </row>
    <row r="21">
      <c r="A21" s="4" t="inlineStr">
        <is>
          <t>جلسة علاج طبيعي</t>
        </is>
      </c>
      <c r="B21" s="12" t="n">
        <v>300</v>
      </c>
      <c r="C21" s="20">
        <f>IF($A21="","",SUMPRODUCT($E21:$AR21,$E$3:$AR$3))</f>
        <v/>
      </c>
      <c r="D21" s="19">
        <f>IF(OR($A21="",$B21=""),"",IFERROR($C21/$B21,""))</f>
        <v/>
      </c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>
        <v>20</v>
      </c>
      <c r="O21" s="21" t="n">
        <v>1</v>
      </c>
      <c r="P21" s="21" t="n"/>
      <c r="Q21" s="21" t="n"/>
      <c r="R21" s="21" t="n">
        <v>10</v>
      </c>
      <c r="S21" s="21" t="n">
        <v>3</v>
      </c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>
        <v>0.5</v>
      </c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</row>
    <row r="22">
      <c r="A22" s="4" t="inlineStr">
        <is>
          <t>جلسة موجات تصادمية</t>
        </is>
      </c>
      <c r="B22" s="12" t="n">
        <v>450</v>
      </c>
      <c r="C22" s="20">
        <f>IF($A22="","",SUMPRODUCT($E22:$AR22,$E$3:$AR$3))</f>
        <v/>
      </c>
      <c r="D22" s="19">
        <f>IF(OR($A22="",$B22=""),"",IFERROR($C22/$B22,""))</f>
        <v/>
      </c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>
        <v>15</v>
      </c>
      <c r="O22" s="21" t="n">
        <v>1</v>
      </c>
      <c r="P22" s="21" t="n"/>
      <c r="Q22" s="21" t="n"/>
      <c r="R22" s="21" t="n">
        <v>10</v>
      </c>
      <c r="S22" s="21" t="n"/>
      <c r="T22" s="21" t="n"/>
      <c r="U22" s="21" t="n"/>
      <c r="V22" s="21" t="n"/>
      <c r="W22" s="21" t="n"/>
      <c r="X22" s="21" t="n"/>
      <c r="Y22" s="21" t="n"/>
      <c r="Z22" s="21" t="n"/>
      <c r="AA22" s="21" t="n"/>
      <c r="AB22" s="21" t="n"/>
      <c r="AC22" s="21" t="n"/>
      <c r="AD22" s="21" t="n"/>
      <c r="AE22" s="21" t="n"/>
      <c r="AF22" s="21" t="n"/>
      <c r="AG22" s="21" t="n"/>
      <c r="AH22" s="21" t="n"/>
      <c r="AI22" s="21" t="n"/>
      <c r="AJ22" s="21" t="n"/>
      <c r="AK22" s="21" t="n"/>
      <c r="AL22" s="21" t="n"/>
      <c r="AM22" s="21" t="n"/>
      <c r="AN22" s="21" t="n"/>
      <c r="AO22" s="21" t="n"/>
      <c r="AP22" s="21" t="n"/>
      <c r="AQ22" s="21" t="n"/>
      <c r="AR22" s="21" t="n"/>
    </row>
    <row r="23">
      <c r="A23" s="4" t="inlineStr">
        <is>
          <t>فحص بالموجات فوق الصوتية</t>
        </is>
      </c>
      <c r="B23" s="12" t="n">
        <v>400</v>
      </c>
      <c r="C23" s="20">
        <f>IF($A23="","",SUMPRODUCT($E23:$AR23,$E$3:$AR$3))</f>
        <v/>
      </c>
      <c r="D23" s="19">
        <f>IF(OR($A23="",$B23=""),"",IFERROR($C23/$B23,""))</f>
        <v/>
      </c>
      <c r="E23" s="21" t="n">
        <v>1</v>
      </c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>
        <v>25</v>
      </c>
      <c r="O23" s="21" t="n">
        <v>1</v>
      </c>
      <c r="P23" s="21" t="n"/>
      <c r="Q23" s="21" t="n"/>
      <c r="R23" s="21" t="n">
        <v>10</v>
      </c>
      <c r="S23" s="21" t="n"/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>
        <v>1</v>
      </c>
      <c r="AD23" s="21" t="n"/>
      <c r="AE23" s="21" t="n"/>
      <c r="AF23" s="21" t="n"/>
      <c r="AG23" s="21" t="n"/>
      <c r="AH23" s="21" t="n"/>
      <c r="AI23" s="21" t="n"/>
      <c r="AJ23" s="21" t="n"/>
      <c r="AK23" s="21" t="n"/>
      <c r="AL23" s="21" t="n"/>
      <c r="AM23" s="21" t="n"/>
      <c r="AN23" s="21" t="n"/>
      <c r="AO23" s="21" t="n"/>
      <c r="AP23" s="21" t="n"/>
      <c r="AQ23" s="21" t="n"/>
      <c r="AR23" s="21" t="n"/>
    </row>
    <row r="24">
      <c r="A24" s="4" t="inlineStr">
        <is>
          <t>تخطيط القلب</t>
        </is>
      </c>
      <c r="B24" s="12" t="n">
        <v>200</v>
      </c>
      <c r="C24" s="20">
        <f>IF($A24="","",SUMPRODUCT($E24:$AR24,$E$3:$AR$3))</f>
        <v/>
      </c>
      <c r="D24" s="19">
        <f>IF(OR($A24="",$B24=""),"",IFERROR($C24/$B24,""))</f>
        <v/>
      </c>
      <c r="E24" s="21" t="n"/>
      <c r="F24" s="21" t="n"/>
      <c r="G24" s="21" t="n"/>
      <c r="H24" s="21" t="n">
        <v>4</v>
      </c>
      <c r="I24" s="21" t="n"/>
      <c r="J24" s="21" t="n"/>
      <c r="K24" s="21" t="n"/>
      <c r="L24" s="21" t="n"/>
      <c r="M24" s="21" t="n"/>
      <c r="N24" s="21" t="n"/>
      <c r="O24" s="21" t="n">
        <v>1</v>
      </c>
      <c r="P24" s="21" t="n"/>
      <c r="Q24" s="21" t="n"/>
      <c r="R24" s="21" t="n"/>
      <c r="S24" s="21" t="n"/>
      <c r="T24" s="21" t="n"/>
      <c r="U24" s="21" t="n"/>
      <c r="V24" s="21" t="n"/>
      <c r="W24" s="21" t="n"/>
      <c r="X24" s="21" t="n"/>
      <c r="Y24" s="21" t="n"/>
      <c r="Z24" s="21" t="n"/>
      <c r="AA24" s="21" t="n"/>
      <c r="AB24" s="21" t="n"/>
      <c r="AC24" s="21" t="n"/>
      <c r="AD24" s="21" t="n">
        <v>10</v>
      </c>
      <c r="AE24" s="21" t="n"/>
      <c r="AF24" s="21" t="n"/>
      <c r="AG24" s="21" t="n"/>
      <c r="AH24" s="21" t="n"/>
      <c r="AI24" s="21" t="n"/>
      <c r="AJ24" s="21" t="n"/>
      <c r="AK24" s="21" t="n"/>
      <c r="AL24" s="21" t="n"/>
      <c r="AM24" s="21" t="n"/>
      <c r="AN24" s="21" t="n"/>
      <c r="AO24" s="21" t="n"/>
      <c r="AP24" s="21" t="n"/>
      <c r="AQ24" s="21" t="n"/>
      <c r="AR24" s="21" t="n"/>
    </row>
    <row r="25">
      <c r="A25" s="4" t="inlineStr">
        <is>
          <t>غيار جرح</t>
        </is>
      </c>
      <c r="B25" s="12" t="n">
        <v>250</v>
      </c>
      <c r="C25" s="20">
        <f>IF($A25="","",SUMPRODUCT($E25:$AR25,$E$3:$AR$3))</f>
        <v/>
      </c>
      <c r="D25" s="19">
        <f>IF(OR($A25="",$B25=""),"",IFERROR($C25/$B25,""))</f>
        <v/>
      </c>
      <c r="E25" s="21" t="n">
        <v>2</v>
      </c>
      <c r="F25" s="21" t="n"/>
      <c r="G25" s="21" t="n">
        <v>8</v>
      </c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>
        <v>1</v>
      </c>
      <c r="R25" s="21" t="n"/>
      <c r="S25" s="21" t="n"/>
      <c r="T25" s="21" t="n"/>
      <c r="U25" s="21" t="n">
        <v>20</v>
      </c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1" t="n"/>
      <c r="AQ25" s="21" t="n"/>
      <c r="AR25" s="21" t="n"/>
    </row>
    <row r="26">
      <c r="A26" s="4" t="inlineStr">
        <is>
          <t>إزالة زائدة جلدية</t>
        </is>
      </c>
      <c r="B26" s="12" t="n">
        <v>500</v>
      </c>
      <c r="C26" s="20">
        <f>IF($A26="","",SUMPRODUCT($E26:$AR26,$E$3:$AR$3))</f>
        <v/>
      </c>
      <c r="D26" s="19">
        <f>IF(OR($A26="",$B26=""),"",IFERROR($C26/$B26,""))</f>
        <v/>
      </c>
      <c r="E26" s="21" t="n">
        <v>2</v>
      </c>
      <c r="F26" s="21" t="n"/>
      <c r="G26" s="21" t="n">
        <v>4</v>
      </c>
      <c r="H26" s="21" t="n"/>
      <c r="I26" s="21" t="n"/>
      <c r="J26" s="21" t="n">
        <v>1</v>
      </c>
      <c r="K26" s="21" t="n">
        <v>1</v>
      </c>
      <c r="L26" s="21" t="n"/>
      <c r="M26" s="21" t="n"/>
      <c r="N26" s="21" t="n"/>
      <c r="O26" s="21" t="n">
        <v>1</v>
      </c>
      <c r="P26" s="21" t="n"/>
      <c r="Q26" s="21" t="n">
        <v>1</v>
      </c>
      <c r="R26" s="21" t="n"/>
      <c r="S26" s="21" t="n"/>
      <c r="T26" s="21" t="n">
        <v>5</v>
      </c>
      <c r="U26" s="21" t="n">
        <v>10</v>
      </c>
      <c r="V26" s="21" t="n"/>
      <c r="W26" s="21" t="n"/>
      <c r="X26" s="21" t="n"/>
      <c r="Y26" s="21" t="n"/>
      <c r="Z26" s="21" t="n"/>
      <c r="AA26" s="21" t="n"/>
      <c r="AB26" s="21" t="n"/>
      <c r="AC26" s="21" t="n"/>
      <c r="AD26" s="21" t="n"/>
      <c r="AE26" s="21" t="n"/>
      <c r="AF26" s="21" t="n"/>
      <c r="AG26" s="21" t="n"/>
      <c r="AH26" s="21" t="n">
        <v>0.02</v>
      </c>
      <c r="AI26" s="21" t="n"/>
      <c r="AJ26" s="21" t="n"/>
      <c r="AK26" s="21" t="n"/>
      <c r="AL26" s="21" t="n"/>
      <c r="AM26" s="21" t="n"/>
      <c r="AN26" s="21" t="n"/>
      <c r="AO26" s="21" t="n"/>
      <c r="AP26" s="21" t="n"/>
      <c r="AQ26" s="21" t="n"/>
      <c r="AR26" s="21" t="n"/>
    </row>
    <row r="27">
      <c r="A27" s="4" t="n"/>
      <c r="B27" s="12" t="n"/>
      <c r="C27" s="20">
        <f>IF($A27="","",SUMPRODUCT($E27:$AR27,$E$3:$AR$3))</f>
        <v/>
      </c>
      <c r="D27" s="19">
        <f>IF(OR($A27="",$B27=""),"",IFERROR($C27/$B27,""))</f>
        <v/>
      </c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</row>
    <row r="28">
      <c r="A28" s="4" t="n"/>
      <c r="B28" s="12" t="n"/>
      <c r="C28" s="20">
        <f>IF($A28="","",SUMPRODUCT($E28:$AR28,$E$3:$AR$3))</f>
        <v/>
      </c>
      <c r="D28" s="19">
        <f>IF(OR($A28="",$B28=""),"",IFERROR($C28/$B28,""))</f>
        <v/>
      </c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21" t="n"/>
      <c r="S28" s="21" t="n"/>
      <c r="T28" s="21" t="n"/>
      <c r="U28" s="21" t="n"/>
      <c r="V28" s="21" t="n"/>
      <c r="W28" s="21" t="n"/>
      <c r="X28" s="21" t="n"/>
      <c r="Y28" s="21" t="n"/>
      <c r="Z28" s="21" t="n"/>
      <c r="AA28" s="21" t="n"/>
      <c r="AB28" s="21" t="n"/>
      <c r="AC28" s="21" t="n"/>
      <c r="AD28" s="21" t="n"/>
      <c r="AE28" s="21" t="n"/>
      <c r="AF28" s="21" t="n"/>
      <c r="AG28" s="21" t="n"/>
      <c r="AH28" s="21" t="n"/>
      <c r="AI28" s="21" t="n"/>
      <c r="AJ28" s="21" t="n"/>
      <c r="AK28" s="21" t="n"/>
      <c r="AL28" s="21" t="n"/>
      <c r="AM28" s="21" t="n"/>
      <c r="AN28" s="21" t="n"/>
      <c r="AO28" s="21" t="n"/>
      <c r="AP28" s="21" t="n"/>
      <c r="AQ28" s="21" t="n"/>
      <c r="AR28" s="21" t="n"/>
    </row>
    <row r="29">
      <c r="A29" s="4" t="n"/>
      <c r="B29" s="12" t="n"/>
      <c r="C29" s="20">
        <f>IF($A29="","",SUMPRODUCT($E29:$AR29,$E$3:$AR$3))</f>
        <v/>
      </c>
      <c r="D29" s="19">
        <f>IF(OR($A29="",$B29=""),"",IFERROR($C29/$B29,""))</f>
        <v/>
      </c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</row>
    <row r="30">
      <c r="A30" s="4" t="n"/>
      <c r="B30" s="12" t="n"/>
      <c r="C30" s="20">
        <f>IF($A30="","",SUMPRODUCT($E30:$AR30,$E$3:$AR$3))</f>
        <v/>
      </c>
      <c r="D30" s="19">
        <f>IF(OR($A30="",$B30=""),"",IFERROR($C30/$B30,""))</f>
        <v/>
      </c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21" t="n"/>
      <c r="S30" s="21" t="n"/>
      <c r="T30" s="21" t="n"/>
      <c r="U30" s="21" t="n"/>
      <c r="V30" s="21" t="n"/>
      <c r="W30" s="21" t="n"/>
      <c r="X30" s="21" t="n"/>
      <c r="Y30" s="21" t="n"/>
      <c r="Z30" s="21" t="n"/>
      <c r="AA30" s="21" t="n"/>
      <c r="AB30" s="21" t="n"/>
      <c r="AC30" s="21" t="n"/>
      <c r="AD30" s="21" t="n"/>
      <c r="AE30" s="21" t="n"/>
      <c r="AF30" s="21" t="n"/>
      <c r="AG30" s="21" t="n"/>
      <c r="AH30" s="21" t="n"/>
      <c r="AI30" s="21" t="n"/>
      <c r="AJ30" s="21" t="n"/>
      <c r="AK30" s="21" t="n"/>
      <c r="AL30" s="21" t="n"/>
      <c r="AM30" s="21" t="n"/>
      <c r="AN30" s="21" t="n"/>
      <c r="AO30" s="21" t="n"/>
      <c r="AP30" s="21" t="n"/>
      <c r="AQ30" s="21" t="n"/>
      <c r="AR30" s="21" t="n"/>
    </row>
    <row r="31">
      <c r="A31" s="4" t="n"/>
      <c r="B31" s="12" t="n"/>
      <c r="C31" s="20">
        <f>IF($A31="","",SUMPRODUCT($E31:$AR31,$E$3:$AR$3))</f>
        <v/>
      </c>
      <c r="D31" s="19">
        <f>IF(OR($A31="",$B31=""),"",IFERROR($C31/$B31,""))</f>
        <v/>
      </c>
      <c r="E31" s="21" t="n"/>
      <c r="F31" s="21" t="n"/>
      <c r="G31" s="21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1" t="n"/>
      <c r="Q31" s="21" t="n"/>
      <c r="R31" s="21" t="n"/>
      <c r="S31" s="21" t="n"/>
      <c r="T31" s="21" t="n"/>
      <c r="U31" s="21" t="n"/>
      <c r="V31" s="21" t="n"/>
      <c r="W31" s="21" t="n"/>
      <c r="X31" s="21" t="n"/>
      <c r="Y31" s="21" t="n"/>
      <c r="Z31" s="21" t="n"/>
      <c r="AA31" s="21" t="n"/>
      <c r="AB31" s="21" t="n"/>
      <c r="AC31" s="21" t="n"/>
      <c r="AD31" s="21" t="n"/>
      <c r="AE31" s="21" t="n"/>
      <c r="AF31" s="21" t="n"/>
      <c r="AG31" s="21" t="n"/>
      <c r="AH31" s="21" t="n"/>
      <c r="AI31" s="21" t="n"/>
      <c r="AJ31" s="21" t="n"/>
      <c r="AK31" s="21" t="n"/>
      <c r="AL31" s="21" t="n"/>
      <c r="AM31" s="21" t="n"/>
      <c r="AN31" s="21" t="n"/>
      <c r="AO31" s="21" t="n"/>
      <c r="AP31" s="21" t="n"/>
      <c r="AQ31" s="21" t="n"/>
      <c r="AR31" s="21" t="n"/>
    </row>
    <row r="32">
      <c r="A32" s="4" t="n"/>
      <c r="B32" s="12" t="n"/>
      <c r="C32" s="20">
        <f>IF($A32="","",SUMPRODUCT($E32:$AR32,$E$3:$AR$3))</f>
        <v/>
      </c>
      <c r="D32" s="19">
        <f>IF(OR($A32="",$B32=""),"",IFERROR($C32/$B32,""))</f>
        <v/>
      </c>
      <c r="E32" s="21" t="n"/>
      <c r="F32" s="21" t="n"/>
      <c r="G32" s="21" t="n"/>
      <c r="H32" s="21" t="n"/>
      <c r="I32" s="21" t="n"/>
      <c r="J32" s="21" t="n"/>
      <c r="K32" s="21" t="n"/>
      <c r="L32" s="21" t="n"/>
      <c r="M32" s="21" t="n"/>
      <c r="N32" s="21" t="n"/>
      <c r="O32" s="21" t="n"/>
      <c r="P32" s="21" t="n"/>
      <c r="Q32" s="21" t="n"/>
      <c r="R32" s="21" t="n"/>
      <c r="S32" s="21" t="n"/>
      <c r="T32" s="21" t="n"/>
      <c r="U32" s="21" t="n"/>
      <c r="V32" s="21" t="n"/>
      <c r="W32" s="21" t="n"/>
      <c r="X32" s="21" t="n"/>
      <c r="Y32" s="21" t="n"/>
      <c r="Z32" s="21" t="n"/>
      <c r="AA32" s="21" t="n"/>
      <c r="AB32" s="21" t="n"/>
      <c r="AC32" s="21" t="n"/>
      <c r="AD32" s="21" t="n"/>
      <c r="AE32" s="21" t="n"/>
      <c r="AF32" s="21" t="n"/>
      <c r="AG32" s="21" t="n"/>
      <c r="AH32" s="21" t="n"/>
      <c r="AI32" s="21" t="n"/>
      <c r="AJ32" s="21" t="n"/>
      <c r="AK32" s="21" t="n"/>
      <c r="AL32" s="21" t="n"/>
      <c r="AM32" s="21" t="n"/>
      <c r="AN32" s="21" t="n"/>
      <c r="AO32" s="21" t="n"/>
      <c r="AP32" s="21" t="n"/>
      <c r="AQ32" s="21" t="n"/>
      <c r="AR32" s="21" t="n"/>
    </row>
    <row r="33">
      <c r="A33" s="4" t="n"/>
      <c r="B33" s="12" t="n"/>
      <c r="C33" s="20">
        <f>IF($A33="","",SUMPRODUCT($E33:$AR33,$E$3:$AR$3))</f>
        <v/>
      </c>
      <c r="D33" s="19">
        <f>IF(OR($A33="",$B33=""),"",IFERROR($C33/$B33,""))</f>
        <v/>
      </c>
      <c r="E33" s="21" t="n"/>
      <c r="F33" s="21" t="n"/>
      <c r="G33" s="21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1" t="n"/>
      <c r="Q33" s="21" t="n"/>
      <c r="R33" s="21" t="n"/>
      <c r="S33" s="21" t="n"/>
      <c r="T33" s="21" t="n"/>
      <c r="U33" s="21" t="n"/>
      <c r="V33" s="21" t="n"/>
      <c r="W33" s="21" t="n"/>
      <c r="X33" s="21" t="n"/>
      <c r="Y33" s="21" t="n"/>
      <c r="Z33" s="21" t="n"/>
      <c r="AA33" s="21" t="n"/>
      <c r="AB33" s="21" t="n"/>
      <c r="AC33" s="21" t="n"/>
      <c r="AD33" s="21" t="n"/>
      <c r="AE33" s="21" t="n"/>
      <c r="AF33" s="21" t="n"/>
      <c r="AG33" s="21" t="n"/>
      <c r="AH33" s="21" t="n"/>
      <c r="AI33" s="21" t="n"/>
      <c r="AJ33" s="21" t="n"/>
      <c r="AK33" s="21" t="n"/>
      <c r="AL33" s="21" t="n"/>
      <c r="AM33" s="21" t="n"/>
      <c r="AN33" s="21" t="n"/>
      <c r="AO33" s="21" t="n"/>
      <c r="AP33" s="21" t="n"/>
      <c r="AQ33" s="21" t="n"/>
      <c r="AR33" s="21" t="n"/>
    </row>
    <row r="34">
      <c r="A34" s="4" t="n"/>
      <c r="B34" s="12" t="n"/>
      <c r="C34" s="20">
        <f>IF($A34="","",SUMPRODUCT($E34:$AR34,$E$3:$AR$3))</f>
        <v/>
      </c>
      <c r="D34" s="19">
        <f>IF(OR($A34="",$B34=""),"",IFERROR($C34/$B34,""))</f>
        <v/>
      </c>
      <c r="E34" s="21" t="n"/>
      <c r="F34" s="21" t="n"/>
      <c r="G34" s="21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21" t="n"/>
      <c r="Q34" s="21" t="n"/>
      <c r="R34" s="21" t="n"/>
      <c r="S34" s="21" t="n"/>
      <c r="T34" s="21" t="n"/>
      <c r="U34" s="21" t="n"/>
      <c r="V34" s="21" t="n"/>
      <c r="W34" s="21" t="n"/>
      <c r="X34" s="21" t="n"/>
      <c r="Y34" s="21" t="n"/>
      <c r="Z34" s="21" t="n"/>
      <c r="AA34" s="21" t="n"/>
      <c r="AB34" s="21" t="n"/>
      <c r="AC34" s="21" t="n"/>
      <c r="AD34" s="21" t="n"/>
      <c r="AE34" s="21" t="n"/>
      <c r="AF34" s="21" t="n"/>
      <c r="AG34" s="21" t="n"/>
      <c r="AH34" s="21" t="n"/>
      <c r="AI34" s="21" t="n"/>
      <c r="AJ34" s="21" t="n"/>
      <c r="AK34" s="21" t="n"/>
      <c r="AL34" s="21" t="n"/>
      <c r="AM34" s="21" t="n"/>
      <c r="AN34" s="21" t="n"/>
      <c r="AO34" s="21" t="n"/>
      <c r="AP34" s="21" t="n"/>
      <c r="AQ34" s="21" t="n"/>
      <c r="AR34" s="21" t="n"/>
    </row>
    <row r="35">
      <c r="A35" s="4" t="n"/>
      <c r="B35" s="12" t="n"/>
      <c r="C35" s="20">
        <f>IF($A35="","",SUMPRODUCT($E35:$AR35,$E$3:$AR$3))</f>
        <v/>
      </c>
      <c r="D35" s="19">
        <f>IF(OR($A35="",$B35=""),"",IFERROR($C35/$B35,""))</f>
        <v/>
      </c>
      <c r="E35" s="21" t="n"/>
      <c r="F35" s="21" t="n"/>
      <c r="G35" s="21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1" t="n"/>
      <c r="Q35" s="21" t="n"/>
      <c r="R35" s="21" t="n"/>
      <c r="S35" s="21" t="n"/>
      <c r="T35" s="21" t="n"/>
      <c r="U35" s="21" t="n"/>
      <c r="V35" s="21" t="n"/>
      <c r="W35" s="21" t="n"/>
      <c r="X35" s="21" t="n"/>
      <c r="Y35" s="21" t="n"/>
      <c r="Z35" s="21" t="n"/>
      <c r="AA35" s="21" t="n"/>
      <c r="AB35" s="21" t="n"/>
      <c r="AC35" s="21" t="n"/>
      <c r="AD35" s="21" t="n"/>
      <c r="AE35" s="21" t="n"/>
      <c r="AF35" s="21" t="n"/>
      <c r="AG35" s="21" t="n"/>
      <c r="AH35" s="21" t="n"/>
      <c r="AI35" s="21" t="n"/>
      <c r="AJ35" s="21" t="n"/>
      <c r="AK35" s="21" t="n"/>
      <c r="AL35" s="21" t="n"/>
      <c r="AM35" s="21" t="n"/>
      <c r="AN35" s="21" t="n"/>
      <c r="AO35" s="21" t="n"/>
      <c r="AP35" s="21" t="n"/>
      <c r="AQ35" s="21" t="n"/>
      <c r="AR35" s="21" t="n"/>
    </row>
    <row r="36">
      <c r="A36" s="4" t="n"/>
      <c r="B36" s="12" t="n"/>
      <c r="C36" s="20">
        <f>IF($A36="","",SUMPRODUCT($E36:$AR36,$E$3:$AR$3))</f>
        <v/>
      </c>
      <c r="D36" s="19">
        <f>IF(OR($A36="",$B36=""),"",IFERROR($C36/$B36,""))</f>
        <v/>
      </c>
      <c r="E36" s="21" t="n"/>
      <c r="F36" s="21" t="n"/>
      <c r="G36" s="21" t="n"/>
      <c r="H36" s="21" t="n"/>
      <c r="I36" s="21" t="n"/>
      <c r="J36" s="21" t="n"/>
      <c r="K36" s="21" t="n"/>
      <c r="L36" s="21" t="n"/>
      <c r="M36" s="21" t="n"/>
      <c r="N36" s="21" t="n"/>
      <c r="O36" s="21" t="n"/>
      <c r="P36" s="21" t="n"/>
      <c r="Q36" s="21" t="n"/>
      <c r="R36" s="21" t="n"/>
      <c r="S36" s="21" t="n"/>
      <c r="T36" s="21" t="n"/>
      <c r="U36" s="21" t="n"/>
      <c r="V36" s="21" t="n"/>
      <c r="W36" s="21" t="n"/>
      <c r="X36" s="21" t="n"/>
      <c r="Y36" s="21" t="n"/>
      <c r="Z36" s="21" t="n"/>
      <c r="AA36" s="21" t="n"/>
      <c r="AB36" s="21" t="n"/>
      <c r="AC36" s="21" t="n"/>
      <c r="AD36" s="21" t="n"/>
      <c r="AE36" s="21" t="n"/>
      <c r="AF36" s="21" t="n"/>
      <c r="AG36" s="21" t="n"/>
      <c r="AH36" s="21" t="n"/>
      <c r="AI36" s="21" t="n"/>
      <c r="AJ36" s="21" t="n"/>
      <c r="AK36" s="21" t="n"/>
      <c r="AL36" s="21" t="n"/>
      <c r="AM36" s="21" t="n"/>
      <c r="AN36" s="21" t="n"/>
      <c r="AO36" s="21" t="n"/>
      <c r="AP36" s="21" t="n"/>
      <c r="AQ36" s="21" t="n"/>
      <c r="AR36" s="21" t="n"/>
    </row>
    <row r="37">
      <c r="A37" s="4" t="n"/>
      <c r="B37" s="12" t="n"/>
      <c r="C37" s="20">
        <f>IF($A37="","",SUMPRODUCT($E37:$AR37,$E$3:$AR$3))</f>
        <v/>
      </c>
      <c r="D37" s="19">
        <f>IF(OR($A37="",$B37=""),"",IFERROR($C37/$B37,""))</f>
        <v/>
      </c>
      <c r="E37" s="21" t="n"/>
      <c r="F37" s="21" t="n"/>
      <c r="G37" s="21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1" t="n"/>
      <c r="Q37" s="21" t="n"/>
      <c r="R37" s="21" t="n"/>
      <c r="S37" s="21" t="n"/>
      <c r="T37" s="21" t="n"/>
      <c r="U37" s="21" t="n"/>
      <c r="V37" s="21" t="n"/>
      <c r="W37" s="21" t="n"/>
      <c r="X37" s="21" t="n"/>
      <c r="Y37" s="21" t="n"/>
      <c r="Z37" s="21" t="n"/>
      <c r="AA37" s="21" t="n"/>
      <c r="AB37" s="21" t="n"/>
      <c r="AC37" s="21" t="n"/>
      <c r="AD37" s="21" t="n"/>
      <c r="AE37" s="21" t="n"/>
      <c r="AF37" s="21" t="n"/>
      <c r="AG37" s="21" t="n"/>
      <c r="AH37" s="21" t="n"/>
      <c r="AI37" s="21" t="n"/>
      <c r="AJ37" s="21" t="n"/>
      <c r="AK37" s="21" t="n"/>
      <c r="AL37" s="21" t="n"/>
      <c r="AM37" s="21" t="n"/>
      <c r="AN37" s="21" t="n"/>
      <c r="AO37" s="21" t="n"/>
      <c r="AP37" s="21" t="n"/>
      <c r="AQ37" s="21" t="n"/>
      <c r="AR37" s="21" t="n"/>
    </row>
    <row r="38">
      <c r="A38" s="4" t="n"/>
      <c r="B38" s="12" t="n"/>
      <c r="C38" s="20">
        <f>IF($A38="","",SUMPRODUCT($E38:$AR38,$E$3:$AR$3))</f>
        <v/>
      </c>
      <c r="D38" s="19">
        <f>IF(OR($A38="",$B38=""),"",IFERROR($C38/$B38,""))</f>
        <v/>
      </c>
      <c r="E38" s="21" t="n"/>
      <c r="F38" s="21" t="n"/>
      <c r="G38" s="21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1" t="n"/>
      <c r="Q38" s="21" t="n"/>
      <c r="R38" s="21" t="n"/>
      <c r="S38" s="21" t="n"/>
      <c r="T38" s="21" t="n"/>
      <c r="U38" s="21" t="n"/>
      <c r="V38" s="21" t="n"/>
      <c r="W38" s="21" t="n"/>
      <c r="X38" s="21" t="n"/>
      <c r="Y38" s="21" t="n"/>
      <c r="Z38" s="21" t="n"/>
      <c r="AA38" s="21" t="n"/>
      <c r="AB38" s="21" t="n"/>
      <c r="AC38" s="21" t="n"/>
      <c r="AD38" s="21" t="n"/>
      <c r="AE38" s="21" t="n"/>
      <c r="AF38" s="21" t="n"/>
      <c r="AG38" s="21" t="n"/>
      <c r="AH38" s="21" t="n"/>
      <c r="AI38" s="21" t="n"/>
      <c r="AJ38" s="21" t="n"/>
      <c r="AK38" s="21" t="n"/>
      <c r="AL38" s="21" t="n"/>
      <c r="AM38" s="21" t="n"/>
      <c r="AN38" s="21" t="n"/>
      <c r="AO38" s="21" t="n"/>
      <c r="AP38" s="21" t="n"/>
      <c r="AQ38" s="21" t="n"/>
      <c r="AR38" s="21" t="n"/>
    </row>
    <row r="39">
      <c r="A39" s="4" t="n"/>
      <c r="B39" s="12" t="n"/>
      <c r="C39" s="20">
        <f>IF($A39="","",SUMPRODUCT($E39:$AR39,$E$3:$AR$3))</f>
        <v/>
      </c>
      <c r="D39" s="19">
        <f>IF(OR($A39="",$B39=""),"",IFERROR($C39/$B39,""))</f>
        <v/>
      </c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1" t="n"/>
      <c r="Q39" s="21" t="n"/>
      <c r="R39" s="21" t="n"/>
      <c r="S39" s="21" t="n"/>
      <c r="T39" s="21" t="n"/>
      <c r="U39" s="21" t="n"/>
      <c r="V39" s="21" t="n"/>
      <c r="W39" s="21" t="n"/>
      <c r="X39" s="21" t="n"/>
      <c r="Y39" s="21" t="n"/>
      <c r="Z39" s="21" t="n"/>
      <c r="AA39" s="21" t="n"/>
      <c r="AB39" s="21" t="n"/>
      <c r="AC39" s="21" t="n"/>
      <c r="AD39" s="21" t="n"/>
      <c r="AE39" s="21" t="n"/>
      <c r="AF39" s="21" t="n"/>
      <c r="AG39" s="21" t="n"/>
      <c r="AH39" s="21" t="n"/>
      <c r="AI39" s="21" t="n"/>
      <c r="AJ39" s="21" t="n"/>
      <c r="AK39" s="21" t="n"/>
      <c r="AL39" s="21" t="n"/>
      <c r="AM39" s="21" t="n"/>
      <c r="AN39" s="21" t="n"/>
      <c r="AO39" s="21" t="n"/>
      <c r="AP39" s="21" t="n"/>
      <c r="AQ39" s="21" t="n"/>
      <c r="AR39" s="21" t="n"/>
    </row>
    <row r="40">
      <c r="A40" s="4" t="n"/>
      <c r="B40" s="12" t="n"/>
      <c r="C40" s="20">
        <f>IF($A40="","",SUMPRODUCT($E40:$AR40,$E$3:$AR$3))</f>
        <v/>
      </c>
      <c r="D40" s="19">
        <f>IF(OR($A40="",$B40=""),"",IFERROR($C40/$B40,""))</f>
        <v/>
      </c>
      <c r="E40" s="21" t="n"/>
      <c r="F40" s="21" t="n"/>
      <c r="G40" s="21" t="n"/>
      <c r="H40" s="21" t="n"/>
      <c r="I40" s="21" t="n"/>
      <c r="J40" s="21" t="n"/>
      <c r="K40" s="21" t="n"/>
      <c r="L40" s="21" t="n"/>
      <c r="M40" s="21" t="n"/>
      <c r="N40" s="21" t="n"/>
      <c r="O40" s="21" t="n"/>
      <c r="P40" s="21" t="n"/>
      <c r="Q40" s="21" t="n"/>
      <c r="R40" s="21" t="n"/>
      <c r="S40" s="21" t="n"/>
      <c r="T40" s="21" t="n"/>
      <c r="U40" s="21" t="n"/>
      <c r="V40" s="21" t="n"/>
      <c r="W40" s="21" t="n"/>
      <c r="X40" s="21" t="n"/>
      <c r="Y40" s="21" t="n"/>
      <c r="Z40" s="21" t="n"/>
      <c r="AA40" s="21" t="n"/>
      <c r="AB40" s="21" t="n"/>
      <c r="AC40" s="21" t="n"/>
      <c r="AD40" s="21" t="n"/>
      <c r="AE40" s="21" t="n"/>
      <c r="AF40" s="21" t="n"/>
      <c r="AG40" s="21" t="n"/>
      <c r="AH40" s="21" t="n"/>
      <c r="AI40" s="21" t="n"/>
      <c r="AJ40" s="21" t="n"/>
      <c r="AK40" s="21" t="n"/>
      <c r="AL40" s="21" t="n"/>
      <c r="AM40" s="21" t="n"/>
      <c r="AN40" s="21" t="n"/>
      <c r="AO40" s="21" t="n"/>
      <c r="AP40" s="21" t="n"/>
      <c r="AQ40" s="21" t="n"/>
      <c r="AR40" s="21" t="n"/>
    </row>
    <row r="41">
      <c r="A41" s="4" t="n"/>
      <c r="B41" s="12" t="n"/>
      <c r="C41" s="20">
        <f>IF($A41="","",SUMPRODUCT($E41:$AR41,$E$3:$AR$3))</f>
        <v/>
      </c>
      <c r="D41" s="19">
        <f>IF(OR($A41="",$B41=""),"",IFERROR($C41/$B41,""))</f>
        <v/>
      </c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1" t="n"/>
      <c r="Q41" s="21" t="n"/>
      <c r="R41" s="21" t="n"/>
      <c r="S41" s="21" t="n"/>
      <c r="T41" s="21" t="n"/>
      <c r="U41" s="21" t="n"/>
      <c r="V41" s="21" t="n"/>
      <c r="W41" s="21" t="n"/>
      <c r="X41" s="21" t="n"/>
      <c r="Y41" s="21" t="n"/>
      <c r="Z41" s="21" t="n"/>
      <c r="AA41" s="21" t="n"/>
      <c r="AB41" s="21" t="n"/>
      <c r="AC41" s="21" t="n"/>
      <c r="AD41" s="21" t="n"/>
      <c r="AE41" s="21" t="n"/>
      <c r="AF41" s="21" t="n"/>
      <c r="AG41" s="21" t="n"/>
      <c r="AH41" s="21" t="n"/>
      <c r="AI41" s="21" t="n"/>
      <c r="AJ41" s="21" t="n"/>
      <c r="AK41" s="21" t="n"/>
      <c r="AL41" s="21" t="n"/>
      <c r="AM41" s="21" t="n"/>
      <c r="AN41" s="21" t="n"/>
      <c r="AO41" s="21" t="n"/>
      <c r="AP41" s="21" t="n"/>
      <c r="AQ41" s="21" t="n"/>
      <c r="AR41" s="21" t="n"/>
    </row>
    <row r="42">
      <c r="A42" s="4" t="n"/>
      <c r="B42" s="12" t="n"/>
      <c r="C42" s="20">
        <f>IF($A42="","",SUMPRODUCT($E42:$AR42,$E$3:$AR$3))</f>
        <v/>
      </c>
      <c r="D42" s="19">
        <f>IF(OR($A42="",$B42=""),"",IFERROR($C42/$B42,""))</f>
        <v/>
      </c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1" t="n"/>
      <c r="Q42" s="21" t="n"/>
      <c r="R42" s="21" t="n"/>
      <c r="S42" s="21" t="n"/>
      <c r="T42" s="21" t="n"/>
      <c r="U42" s="21" t="n"/>
      <c r="V42" s="21" t="n"/>
      <c r="W42" s="21" t="n"/>
      <c r="X42" s="21" t="n"/>
      <c r="Y42" s="21" t="n"/>
      <c r="Z42" s="21" t="n"/>
      <c r="AA42" s="21" t="n"/>
      <c r="AB42" s="21" t="n"/>
      <c r="AC42" s="21" t="n"/>
      <c r="AD42" s="21" t="n"/>
      <c r="AE42" s="21" t="n"/>
      <c r="AF42" s="21" t="n"/>
      <c r="AG42" s="21" t="n"/>
      <c r="AH42" s="21" t="n"/>
      <c r="AI42" s="21" t="n"/>
      <c r="AJ42" s="21" t="n"/>
      <c r="AK42" s="21" t="n"/>
      <c r="AL42" s="21" t="n"/>
      <c r="AM42" s="21" t="n"/>
      <c r="AN42" s="21" t="n"/>
      <c r="AO42" s="21" t="n"/>
      <c r="AP42" s="21" t="n"/>
      <c r="AQ42" s="21" t="n"/>
      <c r="AR42" s="21" t="n"/>
    </row>
    <row r="43">
      <c r="A43" s="4" t="n"/>
      <c r="B43" s="12" t="n"/>
      <c r="C43" s="20">
        <f>IF($A43="","",SUMPRODUCT($E43:$AR43,$E$3:$AR$3))</f>
        <v/>
      </c>
      <c r="D43" s="19">
        <f>IF(OR($A43="",$B43=""),"",IFERROR($C43/$B43,""))</f>
        <v/>
      </c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1" t="n"/>
      <c r="Q43" s="21" t="n"/>
      <c r="R43" s="21" t="n"/>
      <c r="S43" s="21" t="n"/>
      <c r="T43" s="21" t="n"/>
      <c r="U43" s="21" t="n"/>
      <c r="V43" s="21" t="n"/>
      <c r="W43" s="21" t="n"/>
      <c r="X43" s="21" t="n"/>
      <c r="Y43" s="21" t="n"/>
      <c r="Z43" s="21" t="n"/>
      <c r="AA43" s="21" t="n"/>
      <c r="AB43" s="21" t="n"/>
      <c r="AC43" s="21" t="n"/>
      <c r="AD43" s="21" t="n"/>
      <c r="AE43" s="21" t="n"/>
      <c r="AF43" s="21" t="n"/>
      <c r="AG43" s="21" t="n"/>
      <c r="AH43" s="21" t="n"/>
      <c r="AI43" s="21" t="n"/>
      <c r="AJ43" s="21" t="n"/>
      <c r="AK43" s="21" t="n"/>
      <c r="AL43" s="21" t="n"/>
      <c r="AM43" s="21" t="n"/>
      <c r="AN43" s="21" t="n"/>
      <c r="AO43" s="21" t="n"/>
      <c r="AP43" s="21" t="n"/>
      <c r="AQ43" s="21" t="n"/>
      <c r="AR43" s="21" t="n"/>
    </row>
    <row r="44">
      <c r="A44" s="4" t="n"/>
      <c r="B44" s="12" t="n"/>
      <c r="C44" s="20">
        <f>IF($A44="","",SUMPRODUCT($E44:$AR44,$E$3:$AR$3))</f>
        <v/>
      </c>
      <c r="D44" s="19">
        <f>IF(OR($A44="",$B44=""),"",IFERROR($C44/$B44,""))</f>
        <v/>
      </c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1" t="n"/>
      <c r="T44" s="21" t="n"/>
      <c r="U44" s="21" t="n"/>
      <c r="V44" s="21" t="n"/>
      <c r="W44" s="21" t="n"/>
      <c r="X44" s="21" t="n"/>
      <c r="Y44" s="21" t="n"/>
      <c r="Z44" s="21" t="n"/>
      <c r="AA44" s="21" t="n"/>
      <c r="AB44" s="21" t="n"/>
      <c r="AC44" s="21" t="n"/>
      <c r="AD44" s="21" t="n"/>
      <c r="AE44" s="21" t="n"/>
      <c r="AF44" s="21" t="n"/>
      <c r="AG44" s="21" t="n"/>
      <c r="AH44" s="21" t="n"/>
      <c r="AI44" s="21" t="n"/>
      <c r="AJ44" s="21" t="n"/>
      <c r="AK44" s="21" t="n"/>
      <c r="AL44" s="21" t="n"/>
      <c r="AM44" s="21" t="n"/>
      <c r="AN44" s="21" t="n"/>
      <c r="AO44" s="21" t="n"/>
      <c r="AP44" s="21" t="n"/>
      <c r="AQ44" s="21" t="n"/>
      <c r="AR44" s="21" t="n"/>
    </row>
    <row r="45">
      <c r="A45" s="4" t="n"/>
      <c r="B45" s="12" t="n"/>
      <c r="C45" s="20">
        <f>IF($A45="","",SUMPRODUCT($E45:$AR45,$E$3:$AR$3))</f>
        <v/>
      </c>
      <c r="D45" s="19">
        <f>IF(OR($A45="",$B45=""),"",IFERROR($C45/$B45,""))</f>
        <v/>
      </c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21" t="n"/>
      <c r="S45" s="21" t="n"/>
      <c r="T45" s="21" t="n"/>
      <c r="U45" s="21" t="n"/>
      <c r="V45" s="21" t="n"/>
      <c r="W45" s="21" t="n"/>
      <c r="X45" s="21" t="n"/>
      <c r="Y45" s="21" t="n"/>
      <c r="Z45" s="21" t="n"/>
      <c r="AA45" s="21" t="n"/>
      <c r="AB45" s="21" t="n"/>
      <c r="AC45" s="21" t="n"/>
      <c r="AD45" s="21" t="n"/>
      <c r="AE45" s="21" t="n"/>
      <c r="AF45" s="21" t="n"/>
      <c r="AG45" s="21" t="n"/>
      <c r="AH45" s="21" t="n"/>
      <c r="AI45" s="21" t="n"/>
      <c r="AJ45" s="21" t="n"/>
      <c r="AK45" s="21" t="n"/>
      <c r="AL45" s="21" t="n"/>
      <c r="AM45" s="21" t="n"/>
      <c r="AN45" s="21" t="n"/>
      <c r="AO45" s="21" t="n"/>
      <c r="AP45" s="21" t="n"/>
      <c r="AQ45" s="21" t="n"/>
      <c r="AR45" s="21" t="n"/>
    </row>
    <row r="46">
      <c r="A46" s="4" t="n"/>
      <c r="B46" s="12" t="n"/>
      <c r="C46" s="20">
        <f>IF($A46="","",SUMPRODUCT($E46:$AR46,$E$3:$AR$3))</f>
        <v/>
      </c>
      <c r="D46" s="19">
        <f>IF(OR($A46="",$B46=""),"",IFERROR($C46/$B46,""))</f>
        <v/>
      </c>
      <c r="E46" s="21" t="n"/>
      <c r="F46" s="21" t="n"/>
      <c r="G46" s="21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1" t="n"/>
      <c r="Q46" s="21" t="n"/>
      <c r="R46" s="21" t="n"/>
      <c r="S46" s="21" t="n"/>
      <c r="T46" s="21" t="n"/>
      <c r="U46" s="21" t="n"/>
      <c r="V46" s="21" t="n"/>
      <c r="W46" s="21" t="n"/>
      <c r="X46" s="21" t="n"/>
      <c r="Y46" s="21" t="n"/>
      <c r="Z46" s="21" t="n"/>
      <c r="AA46" s="21" t="n"/>
      <c r="AB46" s="21" t="n"/>
      <c r="AC46" s="21" t="n"/>
      <c r="AD46" s="21" t="n"/>
      <c r="AE46" s="21" t="n"/>
      <c r="AF46" s="21" t="n"/>
      <c r="AG46" s="21" t="n"/>
      <c r="AH46" s="21" t="n"/>
      <c r="AI46" s="21" t="n"/>
      <c r="AJ46" s="21" t="n"/>
      <c r="AK46" s="21" t="n"/>
      <c r="AL46" s="21" t="n"/>
      <c r="AM46" s="21" t="n"/>
      <c r="AN46" s="21" t="n"/>
      <c r="AO46" s="21" t="n"/>
      <c r="AP46" s="21" t="n"/>
      <c r="AQ46" s="21" t="n"/>
      <c r="AR46" s="21" t="n"/>
    </row>
    <row r="47">
      <c r="A47" s="4" t="n"/>
      <c r="B47" s="12" t="n"/>
      <c r="C47" s="20">
        <f>IF($A47="","",SUMPRODUCT($E47:$AR47,$E$3:$AR$3))</f>
        <v/>
      </c>
      <c r="D47" s="19">
        <f>IF(OR($A47="",$B47=""),"",IFERROR($C47/$B47,""))</f>
        <v/>
      </c>
      <c r="E47" s="21" t="n"/>
      <c r="F47" s="21" t="n"/>
      <c r="G47" s="21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1" t="n"/>
      <c r="Q47" s="21" t="n"/>
      <c r="R47" s="21" t="n"/>
      <c r="S47" s="21" t="n"/>
      <c r="T47" s="21" t="n"/>
      <c r="U47" s="21" t="n"/>
      <c r="V47" s="21" t="n"/>
      <c r="W47" s="21" t="n"/>
      <c r="X47" s="21" t="n"/>
      <c r="Y47" s="21" t="n"/>
      <c r="Z47" s="21" t="n"/>
      <c r="AA47" s="21" t="n"/>
      <c r="AB47" s="21" t="n"/>
      <c r="AC47" s="21" t="n"/>
      <c r="AD47" s="21" t="n"/>
      <c r="AE47" s="21" t="n"/>
      <c r="AF47" s="21" t="n"/>
      <c r="AG47" s="21" t="n"/>
      <c r="AH47" s="21" t="n"/>
      <c r="AI47" s="21" t="n"/>
      <c r="AJ47" s="21" t="n"/>
      <c r="AK47" s="21" t="n"/>
      <c r="AL47" s="21" t="n"/>
      <c r="AM47" s="21" t="n"/>
      <c r="AN47" s="21" t="n"/>
      <c r="AO47" s="21" t="n"/>
      <c r="AP47" s="21" t="n"/>
      <c r="AQ47" s="21" t="n"/>
      <c r="AR47" s="21" t="n"/>
    </row>
    <row r="48">
      <c r="A48" s="4" t="n"/>
      <c r="B48" s="12" t="n"/>
      <c r="C48" s="20">
        <f>IF($A48="","",SUMPRODUCT($E48:$AR48,$E$3:$AR$3))</f>
        <v/>
      </c>
      <c r="D48" s="19">
        <f>IF(OR($A48="",$B48=""),"",IFERROR($C48/$B48,""))</f>
        <v/>
      </c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1" t="n"/>
      <c r="Q48" s="21" t="n"/>
      <c r="R48" s="21" t="n"/>
      <c r="S48" s="21" t="n"/>
      <c r="T48" s="21" t="n"/>
      <c r="U48" s="21" t="n"/>
      <c r="V48" s="21" t="n"/>
      <c r="W48" s="21" t="n"/>
      <c r="X48" s="21" t="n"/>
      <c r="Y48" s="21" t="n"/>
      <c r="Z48" s="21" t="n"/>
      <c r="AA48" s="21" t="n"/>
      <c r="AB48" s="21" t="n"/>
      <c r="AC48" s="21" t="n"/>
      <c r="AD48" s="21" t="n"/>
      <c r="AE48" s="21" t="n"/>
      <c r="AF48" s="21" t="n"/>
      <c r="AG48" s="21" t="n"/>
      <c r="AH48" s="21" t="n"/>
      <c r="AI48" s="21" t="n"/>
      <c r="AJ48" s="21" t="n"/>
      <c r="AK48" s="21" t="n"/>
      <c r="AL48" s="21" t="n"/>
      <c r="AM48" s="21" t="n"/>
      <c r="AN48" s="21" t="n"/>
      <c r="AO48" s="21" t="n"/>
      <c r="AP48" s="21" t="n"/>
      <c r="AQ48" s="21" t="n"/>
      <c r="AR48" s="21" t="n"/>
    </row>
    <row r="49">
      <c r="A49" s="4" t="n"/>
      <c r="B49" s="12" t="n"/>
      <c r="C49" s="20">
        <f>IF($A49="","",SUMPRODUCT($E49:$AR49,$E$3:$AR$3))</f>
        <v/>
      </c>
      <c r="D49" s="19">
        <f>IF(OR($A49="",$B49=""),"",IFERROR($C49/$B49,""))</f>
        <v/>
      </c>
      <c r="E49" s="21" t="n"/>
      <c r="F49" s="21" t="n"/>
      <c r="G49" s="21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1" t="n"/>
      <c r="Q49" s="21" t="n"/>
      <c r="R49" s="21" t="n"/>
      <c r="S49" s="21" t="n"/>
      <c r="T49" s="21" t="n"/>
      <c r="U49" s="21" t="n"/>
      <c r="V49" s="21" t="n"/>
      <c r="W49" s="21" t="n"/>
      <c r="X49" s="21" t="n"/>
      <c r="Y49" s="21" t="n"/>
      <c r="Z49" s="21" t="n"/>
      <c r="AA49" s="21" t="n"/>
      <c r="AB49" s="21" t="n"/>
      <c r="AC49" s="21" t="n"/>
      <c r="AD49" s="21" t="n"/>
      <c r="AE49" s="21" t="n"/>
      <c r="AF49" s="21" t="n"/>
      <c r="AG49" s="21" t="n"/>
      <c r="AH49" s="21" t="n"/>
      <c r="AI49" s="21" t="n"/>
      <c r="AJ49" s="21" t="n"/>
      <c r="AK49" s="21" t="n"/>
      <c r="AL49" s="21" t="n"/>
      <c r="AM49" s="21" t="n"/>
      <c r="AN49" s="21" t="n"/>
      <c r="AO49" s="21" t="n"/>
      <c r="AP49" s="21" t="n"/>
      <c r="AQ49" s="21" t="n"/>
      <c r="AR49" s="21" t="n"/>
    </row>
    <row r="50">
      <c r="A50" s="4" t="n"/>
      <c r="B50" s="12" t="n"/>
      <c r="C50" s="20">
        <f>IF($A50="","",SUMPRODUCT($E50:$AR50,$E$3:$AR$3))</f>
        <v/>
      </c>
      <c r="D50" s="19">
        <f>IF(OR($A50="",$B50=""),"",IFERROR($C50/$B50,""))</f>
        <v/>
      </c>
      <c r="E50" s="21" t="n"/>
      <c r="F50" s="21" t="n"/>
      <c r="G50" s="21" t="n"/>
      <c r="H50" s="21" t="n"/>
      <c r="I50" s="21" t="n"/>
      <c r="J50" s="21" t="n"/>
      <c r="K50" s="21" t="n"/>
      <c r="L50" s="21" t="n"/>
      <c r="M50" s="21" t="n"/>
      <c r="N50" s="21" t="n"/>
      <c r="O50" s="21" t="n"/>
      <c r="P50" s="21" t="n"/>
      <c r="Q50" s="21" t="n"/>
      <c r="R50" s="21" t="n"/>
      <c r="S50" s="21" t="n"/>
      <c r="T50" s="21" t="n"/>
      <c r="U50" s="21" t="n"/>
      <c r="V50" s="21" t="n"/>
      <c r="W50" s="21" t="n"/>
      <c r="X50" s="21" t="n"/>
      <c r="Y50" s="21" t="n"/>
      <c r="Z50" s="21" t="n"/>
      <c r="AA50" s="21" t="n"/>
      <c r="AB50" s="21" t="n"/>
      <c r="AC50" s="21" t="n"/>
      <c r="AD50" s="21" t="n"/>
      <c r="AE50" s="21" t="n"/>
      <c r="AF50" s="21" t="n"/>
      <c r="AG50" s="21" t="n"/>
      <c r="AH50" s="21" t="n"/>
      <c r="AI50" s="21" t="n"/>
      <c r="AJ50" s="21" t="n"/>
      <c r="AK50" s="21" t="n"/>
      <c r="AL50" s="21" t="n"/>
      <c r="AM50" s="21" t="n"/>
      <c r="AN50" s="21" t="n"/>
      <c r="AO50" s="21" t="n"/>
      <c r="AP50" s="21" t="n"/>
      <c r="AQ50" s="21" t="n"/>
      <c r="AR50" s="21" t="n"/>
    </row>
    <row r="51">
      <c r="A51" s="4" t="n"/>
      <c r="B51" s="12" t="n"/>
      <c r="C51" s="20">
        <f>IF($A51="","",SUMPRODUCT($E51:$AR51,$E$3:$AR$3))</f>
        <v/>
      </c>
      <c r="D51" s="19">
        <f>IF(OR($A51="",$B51=""),"",IFERROR($C51/$B51,""))</f>
        <v/>
      </c>
      <c r="E51" s="21" t="n"/>
      <c r="F51" s="21" t="n"/>
      <c r="G51" s="21" t="n"/>
      <c r="H51" s="21" t="n"/>
      <c r="I51" s="21" t="n"/>
      <c r="J51" s="21" t="n"/>
      <c r="K51" s="21" t="n"/>
      <c r="L51" s="21" t="n"/>
      <c r="M51" s="21" t="n"/>
      <c r="N51" s="21" t="n"/>
      <c r="O51" s="21" t="n"/>
      <c r="P51" s="21" t="n"/>
      <c r="Q51" s="21" t="n"/>
      <c r="R51" s="21" t="n"/>
      <c r="S51" s="21" t="n"/>
      <c r="T51" s="21" t="n"/>
      <c r="U51" s="21" t="n"/>
      <c r="V51" s="21" t="n"/>
      <c r="W51" s="21" t="n"/>
      <c r="X51" s="21" t="n"/>
      <c r="Y51" s="21" t="n"/>
      <c r="Z51" s="21" t="n"/>
      <c r="AA51" s="21" t="n"/>
      <c r="AB51" s="21" t="n"/>
      <c r="AC51" s="21" t="n"/>
      <c r="AD51" s="21" t="n"/>
      <c r="AE51" s="21" t="n"/>
      <c r="AF51" s="21" t="n"/>
      <c r="AG51" s="21" t="n"/>
      <c r="AH51" s="21" t="n"/>
      <c r="AI51" s="21" t="n"/>
      <c r="AJ51" s="21" t="n"/>
      <c r="AK51" s="21" t="n"/>
      <c r="AL51" s="21" t="n"/>
      <c r="AM51" s="21" t="n"/>
      <c r="AN51" s="21" t="n"/>
      <c r="AO51" s="21" t="n"/>
      <c r="AP51" s="21" t="n"/>
      <c r="AQ51" s="21" t="n"/>
      <c r="AR51" s="21" t="n"/>
    </row>
    <row r="52">
      <c r="A52" s="4" t="n"/>
      <c r="B52" s="12" t="n"/>
      <c r="C52" s="20">
        <f>IF($A52="","",SUMPRODUCT($E52:$AR52,$E$3:$AR$3))</f>
        <v/>
      </c>
      <c r="D52" s="19">
        <f>IF(OR($A52="",$B52=""),"",IFERROR($C52/$B52,""))</f>
        <v/>
      </c>
      <c r="E52" s="21" t="n"/>
      <c r="F52" s="21" t="n"/>
      <c r="G52" s="21" t="n"/>
      <c r="H52" s="21" t="n"/>
      <c r="I52" s="21" t="n"/>
      <c r="J52" s="21" t="n"/>
      <c r="K52" s="21" t="n"/>
      <c r="L52" s="21" t="n"/>
      <c r="M52" s="21" t="n"/>
      <c r="N52" s="21" t="n"/>
      <c r="O52" s="21" t="n"/>
      <c r="P52" s="21" t="n"/>
      <c r="Q52" s="21" t="n"/>
      <c r="R52" s="21" t="n"/>
      <c r="S52" s="21" t="n"/>
      <c r="T52" s="21" t="n"/>
      <c r="U52" s="21" t="n"/>
      <c r="V52" s="21" t="n"/>
      <c r="W52" s="21" t="n"/>
      <c r="X52" s="21" t="n"/>
      <c r="Y52" s="21" t="n"/>
      <c r="Z52" s="21" t="n"/>
      <c r="AA52" s="21" t="n"/>
      <c r="AB52" s="21" t="n"/>
      <c r="AC52" s="21" t="n"/>
      <c r="AD52" s="21" t="n"/>
      <c r="AE52" s="21" t="n"/>
      <c r="AF52" s="21" t="n"/>
      <c r="AG52" s="21" t="n"/>
      <c r="AH52" s="21" t="n"/>
      <c r="AI52" s="21" t="n"/>
      <c r="AJ52" s="21" t="n"/>
      <c r="AK52" s="21" t="n"/>
      <c r="AL52" s="21" t="n"/>
      <c r="AM52" s="21" t="n"/>
      <c r="AN52" s="21" t="n"/>
      <c r="AO52" s="21" t="n"/>
      <c r="AP52" s="21" t="n"/>
      <c r="AQ52" s="21" t="n"/>
      <c r="AR52" s="21" t="n"/>
    </row>
    <row r="53">
      <c r="A53" s="4" t="n"/>
      <c r="B53" s="12" t="n"/>
      <c r="C53" s="20">
        <f>IF($A53="","",SUMPRODUCT($E53:$AR53,$E$3:$AR$3))</f>
        <v/>
      </c>
      <c r="D53" s="19">
        <f>IF(OR($A53="",$B53=""),"",IFERROR($C53/$B53,""))</f>
        <v/>
      </c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1" t="n"/>
      <c r="Q53" s="21" t="n"/>
      <c r="R53" s="21" t="n"/>
      <c r="S53" s="21" t="n"/>
      <c r="T53" s="21" t="n"/>
      <c r="U53" s="21" t="n"/>
      <c r="V53" s="21" t="n"/>
      <c r="W53" s="21" t="n"/>
      <c r="X53" s="21" t="n"/>
      <c r="Y53" s="21" t="n"/>
      <c r="Z53" s="21" t="n"/>
      <c r="AA53" s="21" t="n"/>
      <c r="AB53" s="21" t="n"/>
      <c r="AC53" s="21" t="n"/>
      <c r="AD53" s="21" t="n"/>
      <c r="AE53" s="21" t="n"/>
      <c r="AF53" s="21" t="n"/>
      <c r="AG53" s="21" t="n"/>
      <c r="AH53" s="21" t="n"/>
      <c r="AI53" s="21" t="n"/>
      <c r="AJ53" s="21" t="n"/>
      <c r="AK53" s="21" t="n"/>
      <c r="AL53" s="21" t="n"/>
      <c r="AM53" s="21" t="n"/>
      <c r="AN53" s="21" t="n"/>
      <c r="AO53" s="21" t="n"/>
      <c r="AP53" s="21" t="n"/>
      <c r="AQ53" s="21" t="n"/>
      <c r="AR53" s="21" t="n"/>
    </row>
    <row r="54">
      <c r="A54" s="4" t="n"/>
      <c r="B54" s="12" t="n"/>
      <c r="C54" s="20">
        <f>IF($A54="","",SUMPRODUCT($E54:$AR54,$E$3:$AR$3))</f>
        <v/>
      </c>
      <c r="D54" s="19">
        <f>IF(OR($A54="",$B54=""),"",IFERROR($C54/$B54,""))</f>
        <v/>
      </c>
      <c r="E54" s="21" t="n"/>
      <c r="F54" s="21" t="n"/>
      <c r="G54" s="21" t="n"/>
      <c r="H54" s="21" t="n"/>
      <c r="I54" s="21" t="n"/>
      <c r="J54" s="21" t="n"/>
      <c r="K54" s="21" t="n"/>
      <c r="L54" s="21" t="n"/>
      <c r="M54" s="21" t="n"/>
      <c r="N54" s="21" t="n"/>
      <c r="O54" s="21" t="n"/>
      <c r="P54" s="21" t="n"/>
      <c r="Q54" s="21" t="n"/>
      <c r="R54" s="21" t="n"/>
      <c r="S54" s="21" t="n"/>
      <c r="T54" s="21" t="n"/>
      <c r="U54" s="21" t="n"/>
      <c r="V54" s="21" t="n"/>
      <c r="W54" s="21" t="n"/>
      <c r="X54" s="21" t="n"/>
      <c r="Y54" s="21" t="n"/>
      <c r="Z54" s="21" t="n"/>
      <c r="AA54" s="21" t="n"/>
      <c r="AB54" s="21" t="n"/>
      <c r="AC54" s="21" t="n"/>
      <c r="AD54" s="21" t="n"/>
      <c r="AE54" s="21" t="n"/>
      <c r="AF54" s="21" t="n"/>
      <c r="AG54" s="21" t="n"/>
      <c r="AH54" s="21" t="n"/>
      <c r="AI54" s="21" t="n"/>
      <c r="AJ54" s="21" t="n"/>
      <c r="AK54" s="21" t="n"/>
      <c r="AL54" s="21" t="n"/>
      <c r="AM54" s="21" t="n"/>
      <c r="AN54" s="21" t="n"/>
      <c r="AO54" s="21" t="n"/>
      <c r="AP54" s="21" t="n"/>
      <c r="AQ54" s="21" t="n"/>
      <c r="AR54" s="21" t="n"/>
    </row>
    <row r="55">
      <c r="A55" s="4" t="n"/>
      <c r="B55" s="12" t="n"/>
      <c r="C55" s="20">
        <f>IF($A55="","",SUMPRODUCT($E55:$AR55,$E$3:$AR$3))</f>
        <v/>
      </c>
      <c r="D55" s="19">
        <f>IF(OR($A55="",$B55=""),"",IFERROR($C55/$B55,""))</f>
        <v/>
      </c>
      <c r="E55" s="21" t="n"/>
      <c r="F55" s="21" t="n"/>
      <c r="G55" s="21" t="n"/>
      <c r="H55" s="21" t="n"/>
      <c r="I55" s="21" t="n"/>
      <c r="J55" s="21" t="n"/>
      <c r="K55" s="21" t="n"/>
      <c r="L55" s="21" t="n"/>
      <c r="M55" s="21" t="n"/>
      <c r="N55" s="21" t="n"/>
      <c r="O55" s="21" t="n"/>
      <c r="P55" s="21" t="n"/>
      <c r="Q55" s="21" t="n"/>
      <c r="R55" s="21" t="n"/>
      <c r="S55" s="21" t="n"/>
      <c r="T55" s="21" t="n"/>
      <c r="U55" s="21" t="n"/>
      <c r="V55" s="21" t="n"/>
      <c r="W55" s="21" t="n"/>
      <c r="X55" s="21" t="n"/>
      <c r="Y55" s="21" t="n"/>
      <c r="Z55" s="21" t="n"/>
      <c r="AA55" s="21" t="n"/>
      <c r="AB55" s="21" t="n"/>
      <c r="AC55" s="21" t="n"/>
      <c r="AD55" s="21" t="n"/>
      <c r="AE55" s="21" t="n"/>
      <c r="AF55" s="21" t="n"/>
      <c r="AG55" s="21" t="n"/>
      <c r="AH55" s="21" t="n"/>
      <c r="AI55" s="21" t="n"/>
      <c r="AJ55" s="21" t="n"/>
      <c r="AK55" s="21" t="n"/>
      <c r="AL55" s="21" t="n"/>
      <c r="AM55" s="21" t="n"/>
      <c r="AN55" s="21" t="n"/>
      <c r="AO55" s="21" t="n"/>
      <c r="AP55" s="21" t="n"/>
      <c r="AQ55" s="21" t="n"/>
      <c r="AR55" s="21" t="n"/>
    </row>
    <row r="56">
      <c r="A56" s="4" t="n"/>
      <c r="B56" s="12" t="n"/>
      <c r="C56" s="20">
        <f>IF($A56="","",SUMPRODUCT($E56:$AR56,$E$3:$AR$3))</f>
        <v/>
      </c>
      <c r="D56" s="19">
        <f>IF(OR($A56="",$B56=""),"",IFERROR($C56/$B56,""))</f>
        <v/>
      </c>
      <c r="E56" s="21" t="n"/>
      <c r="F56" s="21" t="n"/>
      <c r="G56" s="21" t="n"/>
      <c r="H56" s="21" t="n"/>
      <c r="I56" s="21" t="n"/>
      <c r="J56" s="21" t="n"/>
      <c r="K56" s="21" t="n"/>
      <c r="L56" s="21" t="n"/>
      <c r="M56" s="21" t="n"/>
      <c r="N56" s="21" t="n"/>
      <c r="O56" s="21" t="n"/>
      <c r="P56" s="21" t="n"/>
      <c r="Q56" s="21" t="n"/>
      <c r="R56" s="21" t="n"/>
      <c r="S56" s="21" t="n"/>
      <c r="T56" s="21" t="n"/>
      <c r="U56" s="21" t="n"/>
      <c r="V56" s="21" t="n"/>
      <c r="W56" s="21" t="n"/>
      <c r="X56" s="21" t="n"/>
      <c r="Y56" s="21" t="n"/>
      <c r="Z56" s="21" t="n"/>
      <c r="AA56" s="21" t="n"/>
      <c r="AB56" s="21" t="n"/>
      <c r="AC56" s="21" t="n"/>
      <c r="AD56" s="21" t="n"/>
      <c r="AE56" s="21" t="n"/>
      <c r="AF56" s="21" t="n"/>
      <c r="AG56" s="21" t="n"/>
      <c r="AH56" s="21" t="n"/>
      <c r="AI56" s="21" t="n"/>
      <c r="AJ56" s="21" t="n"/>
      <c r="AK56" s="21" t="n"/>
      <c r="AL56" s="21" t="n"/>
      <c r="AM56" s="21" t="n"/>
      <c r="AN56" s="21" t="n"/>
      <c r="AO56" s="21" t="n"/>
      <c r="AP56" s="21" t="n"/>
      <c r="AQ56" s="21" t="n"/>
      <c r="AR56" s="21" t="n"/>
    </row>
    <row r="57">
      <c r="A57" s="4" t="n"/>
      <c r="B57" s="12" t="n"/>
      <c r="C57" s="20">
        <f>IF($A57="","",SUMPRODUCT($E57:$AR57,$E$3:$AR$3))</f>
        <v/>
      </c>
      <c r="D57" s="19">
        <f>IF(OR($A57="",$B57=""),"",IFERROR($C57/$B57,""))</f>
        <v/>
      </c>
      <c r="E57" s="21" t="n"/>
      <c r="F57" s="21" t="n"/>
      <c r="G57" s="21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1" t="n"/>
      <c r="Q57" s="21" t="n"/>
      <c r="R57" s="21" t="n"/>
      <c r="S57" s="21" t="n"/>
      <c r="T57" s="21" t="n"/>
      <c r="U57" s="21" t="n"/>
      <c r="V57" s="21" t="n"/>
      <c r="W57" s="21" t="n"/>
      <c r="X57" s="21" t="n"/>
      <c r="Y57" s="21" t="n"/>
      <c r="Z57" s="21" t="n"/>
      <c r="AA57" s="21" t="n"/>
      <c r="AB57" s="21" t="n"/>
      <c r="AC57" s="21" t="n"/>
      <c r="AD57" s="21" t="n"/>
      <c r="AE57" s="21" t="n"/>
      <c r="AF57" s="21" t="n"/>
      <c r="AG57" s="21" t="n"/>
      <c r="AH57" s="21" t="n"/>
      <c r="AI57" s="21" t="n"/>
      <c r="AJ57" s="21" t="n"/>
      <c r="AK57" s="21" t="n"/>
      <c r="AL57" s="21" t="n"/>
      <c r="AM57" s="21" t="n"/>
      <c r="AN57" s="21" t="n"/>
      <c r="AO57" s="21" t="n"/>
      <c r="AP57" s="21" t="n"/>
      <c r="AQ57" s="21" t="n"/>
      <c r="AR57" s="21" t="n"/>
    </row>
    <row r="58">
      <c r="A58" s="4" t="n"/>
      <c r="B58" s="12" t="n"/>
      <c r="C58" s="20">
        <f>IF($A58="","",SUMPRODUCT($E58:$AR58,$E$3:$AR$3))</f>
        <v/>
      </c>
      <c r="D58" s="19">
        <f>IF(OR($A58="",$B58=""),"",IFERROR($C58/$B58,""))</f>
        <v/>
      </c>
      <c r="E58" s="21" t="n"/>
      <c r="F58" s="21" t="n"/>
      <c r="G58" s="21" t="n"/>
      <c r="H58" s="21" t="n"/>
      <c r="I58" s="21" t="n"/>
      <c r="J58" s="21" t="n"/>
      <c r="K58" s="21" t="n"/>
      <c r="L58" s="21" t="n"/>
      <c r="M58" s="21" t="n"/>
      <c r="N58" s="21" t="n"/>
      <c r="O58" s="21" t="n"/>
      <c r="P58" s="21" t="n"/>
      <c r="Q58" s="21" t="n"/>
      <c r="R58" s="21" t="n"/>
      <c r="S58" s="21" t="n"/>
      <c r="T58" s="21" t="n"/>
      <c r="U58" s="21" t="n"/>
      <c r="V58" s="21" t="n"/>
      <c r="W58" s="21" t="n"/>
      <c r="X58" s="21" t="n"/>
      <c r="Y58" s="21" t="n"/>
      <c r="Z58" s="21" t="n"/>
      <c r="AA58" s="21" t="n"/>
      <c r="AB58" s="21" t="n"/>
      <c r="AC58" s="21" t="n"/>
      <c r="AD58" s="21" t="n"/>
      <c r="AE58" s="21" t="n"/>
      <c r="AF58" s="21" t="n"/>
      <c r="AG58" s="21" t="n"/>
      <c r="AH58" s="21" t="n"/>
      <c r="AI58" s="21" t="n"/>
      <c r="AJ58" s="21" t="n"/>
      <c r="AK58" s="21" t="n"/>
      <c r="AL58" s="21" t="n"/>
      <c r="AM58" s="21" t="n"/>
      <c r="AN58" s="21" t="n"/>
      <c r="AO58" s="21" t="n"/>
      <c r="AP58" s="21" t="n"/>
      <c r="AQ58" s="21" t="n"/>
      <c r="AR58" s="21" t="n"/>
    </row>
    <row r="59">
      <c r="A59" s="4" t="n"/>
      <c r="B59" s="12" t="n"/>
      <c r="C59" s="20">
        <f>IF($A59="","",SUMPRODUCT($E59:$AR59,$E$3:$AR$3))</f>
        <v/>
      </c>
      <c r="D59" s="19">
        <f>IF(OR($A59="",$B59=""),"",IFERROR($C59/$B59,""))</f>
        <v/>
      </c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  <c r="W59" s="21" t="n"/>
      <c r="X59" s="21" t="n"/>
      <c r="Y59" s="21" t="n"/>
      <c r="Z59" s="21" t="n"/>
      <c r="AA59" s="21" t="n"/>
      <c r="AB59" s="21" t="n"/>
      <c r="AC59" s="21" t="n"/>
      <c r="AD59" s="21" t="n"/>
      <c r="AE59" s="21" t="n"/>
      <c r="AF59" s="21" t="n"/>
      <c r="AG59" s="21" t="n"/>
      <c r="AH59" s="21" t="n"/>
      <c r="AI59" s="21" t="n"/>
      <c r="AJ59" s="21" t="n"/>
      <c r="AK59" s="21" t="n"/>
      <c r="AL59" s="21" t="n"/>
      <c r="AM59" s="21" t="n"/>
      <c r="AN59" s="21" t="n"/>
      <c r="AO59" s="21" t="n"/>
      <c r="AP59" s="21" t="n"/>
      <c r="AQ59" s="21" t="n"/>
      <c r="AR59" s="21" t="n"/>
    </row>
    <row r="60">
      <c r="A60" s="4" t="n"/>
      <c r="B60" s="12" t="n"/>
      <c r="C60" s="20">
        <f>IF($A60="","",SUMPRODUCT($E60:$AR60,$E$3:$AR$3))</f>
        <v/>
      </c>
      <c r="D60" s="19">
        <f>IF(OR($A60="",$B60=""),"",IFERROR($C60/$B60,""))</f>
        <v/>
      </c>
      <c r="E60" s="21" t="n"/>
      <c r="F60" s="21" t="n"/>
      <c r="G60" s="21" t="n"/>
      <c r="H60" s="21" t="n"/>
      <c r="I60" s="21" t="n"/>
      <c r="J60" s="21" t="n"/>
      <c r="K60" s="21" t="n"/>
      <c r="L60" s="21" t="n"/>
      <c r="M60" s="21" t="n"/>
      <c r="N60" s="21" t="n"/>
      <c r="O60" s="21" t="n"/>
      <c r="P60" s="21" t="n"/>
      <c r="Q60" s="21" t="n"/>
      <c r="R60" s="21" t="n"/>
      <c r="S60" s="21" t="n"/>
      <c r="T60" s="21" t="n"/>
      <c r="U60" s="21" t="n"/>
      <c r="V60" s="21" t="n"/>
      <c r="W60" s="21" t="n"/>
      <c r="X60" s="21" t="n"/>
      <c r="Y60" s="21" t="n"/>
      <c r="Z60" s="21" t="n"/>
      <c r="AA60" s="21" t="n"/>
      <c r="AB60" s="21" t="n"/>
      <c r="AC60" s="21" t="n"/>
      <c r="AD60" s="21" t="n"/>
      <c r="AE60" s="21" t="n"/>
      <c r="AF60" s="21" t="n"/>
      <c r="AG60" s="21" t="n"/>
      <c r="AH60" s="21" t="n"/>
      <c r="AI60" s="21" t="n"/>
      <c r="AJ60" s="21" t="n"/>
      <c r="AK60" s="21" t="n"/>
      <c r="AL60" s="21" t="n"/>
      <c r="AM60" s="21" t="n"/>
      <c r="AN60" s="21" t="n"/>
      <c r="AO60" s="21" t="n"/>
      <c r="AP60" s="21" t="n"/>
      <c r="AQ60" s="21" t="n"/>
      <c r="AR60" s="21" t="n"/>
    </row>
    <row r="61">
      <c r="A61" s="4" t="n"/>
      <c r="B61" s="12" t="n"/>
      <c r="C61" s="20">
        <f>IF($A61="","",SUMPRODUCT($E61:$AR61,$E$3:$AR$3))</f>
        <v/>
      </c>
      <c r="D61" s="19">
        <f>IF(OR($A61="",$B61=""),"",IFERROR($C61/$B61,""))</f>
        <v/>
      </c>
      <c r="E61" s="21" t="n"/>
      <c r="F61" s="21" t="n"/>
      <c r="G61" s="21" t="n"/>
      <c r="H61" s="21" t="n"/>
      <c r="I61" s="21" t="n"/>
      <c r="J61" s="21" t="n"/>
      <c r="K61" s="21" t="n"/>
      <c r="L61" s="21" t="n"/>
      <c r="M61" s="21" t="n"/>
      <c r="N61" s="21" t="n"/>
      <c r="O61" s="21" t="n"/>
      <c r="P61" s="21" t="n"/>
      <c r="Q61" s="21" t="n"/>
      <c r="R61" s="21" t="n"/>
      <c r="S61" s="21" t="n"/>
      <c r="T61" s="21" t="n"/>
      <c r="U61" s="21" t="n"/>
      <c r="V61" s="21" t="n"/>
      <c r="W61" s="21" t="n"/>
      <c r="X61" s="21" t="n"/>
      <c r="Y61" s="21" t="n"/>
      <c r="Z61" s="21" t="n"/>
      <c r="AA61" s="21" t="n"/>
      <c r="AB61" s="21" t="n"/>
      <c r="AC61" s="21" t="n"/>
      <c r="AD61" s="21" t="n"/>
      <c r="AE61" s="21" t="n"/>
      <c r="AF61" s="21" t="n"/>
      <c r="AG61" s="21" t="n"/>
      <c r="AH61" s="21" t="n"/>
      <c r="AI61" s="21" t="n"/>
      <c r="AJ61" s="21" t="n"/>
      <c r="AK61" s="21" t="n"/>
      <c r="AL61" s="21" t="n"/>
      <c r="AM61" s="21" t="n"/>
      <c r="AN61" s="21" t="n"/>
      <c r="AO61" s="21" t="n"/>
      <c r="AP61" s="21" t="n"/>
      <c r="AQ61" s="21" t="n"/>
      <c r="AR61" s="21" t="n"/>
    </row>
    <row r="62">
      <c r="A62" s="4" t="n"/>
      <c r="B62" s="12" t="n"/>
      <c r="C62" s="20">
        <f>IF($A62="","",SUMPRODUCT($E62:$AR62,$E$3:$AR$3))</f>
        <v/>
      </c>
      <c r="D62" s="19">
        <f>IF(OR($A62="",$B62=""),"",IFERROR($C62/$B62,""))</f>
        <v/>
      </c>
      <c r="E62" s="21" t="n"/>
      <c r="F62" s="21" t="n"/>
      <c r="G62" s="21" t="n"/>
      <c r="H62" s="21" t="n"/>
      <c r="I62" s="21" t="n"/>
      <c r="J62" s="21" t="n"/>
      <c r="K62" s="21" t="n"/>
      <c r="L62" s="21" t="n"/>
      <c r="M62" s="21" t="n"/>
      <c r="N62" s="21" t="n"/>
      <c r="O62" s="21" t="n"/>
      <c r="P62" s="21" t="n"/>
      <c r="Q62" s="21" t="n"/>
      <c r="R62" s="21" t="n"/>
      <c r="S62" s="21" t="n"/>
      <c r="T62" s="21" t="n"/>
      <c r="U62" s="21" t="n"/>
      <c r="V62" s="21" t="n"/>
      <c r="W62" s="21" t="n"/>
      <c r="X62" s="21" t="n"/>
      <c r="Y62" s="21" t="n"/>
      <c r="Z62" s="21" t="n"/>
      <c r="AA62" s="21" t="n"/>
      <c r="AB62" s="21" t="n"/>
      <c r="AC62" s="21" t="n"/>
      <c r="AD62" s="21" t="n"/>
      <c r="AE62" s="21" t="n"/>
      <c r="AF62" s="21" t="n"/>
      <c r="AG62" s="21" t="n"/>
      <c r="AH62" s="21" t="n"/>
      <c r="AI62" s="21" t="n"/>
      <c r="AJ62" s="21" t="n"/>
      <c r="AK62" s="21" t="n"/>
      <c r="AL62" s="21" t="n"/>
      <c r="AM62" s="21" t="n"/>
      <c r="AN62" s="21" t="n"/>
      <c r="AO62" s="21" t="n"/>
      <c r="AP62" s="21" t="n"/>
      <c r="AQ62" s="21" t="n"/>
      <c r="AR62" s="21" t="n"/>
    </row>
    <row r="63">
      <c r="A63" s="4" t="n"/>
      <c r="B63" s="12" t="n"/>
      <c r="C63" s="20">
        <f>IF($A63="","",SUMPRODUCT($E63:$AR63,$E$3:$AR$3))</f>
        <v/>
      </c>
      <c r="D63" s="19">
        <f>IF(OR($A63="",$B63=""),"",IFERROR($C63/$B63,""))</f>
        <v/>
      </c>
      <c r="E63" s="21" t="n"/>
      <c r="F63" s="21" t="n"/>
      <c r="G63" s="21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1" t="n"/>
      <c r="Q63" s="21" t="n"/>
      <c r="R63" s="21" t="n"/>
      <c r="S63" s="21" t="n"/>
      <c r="T63" s="21" t="n"/>
      <c r="U63" s="21" t="n"/>
      <c r="V63" s="21" t="n"/>
      <c r="W63" s="21" t="n"/>
      <c r="X63" s="21" t="n"/>
      <c r="Y63" s="21" t="n"/>
      <c r="Z63" s="21" t="n"/>
      <c r="AA63" s="21" t="n"/>
      <c r="AB63" s="21" t="n"/>
      <c r="AC63" s="21" t="n"/>
      <c r="AD63" s="21" t="n"/>
      <c r="AE63" s="21" t="n"/>
      <c r="AF63" s="21" t="n"/>
      <c r="AG63" s="21" t="n"/>
      <c r="AH63" s="21" t="n"/>
      <c r="AI63" s="21" t="n"/>
      <c r="AJ63" s="21" t="n"/>
      <c r="AK63" s="21" t="n"/>
      <c r="AL63" s="21" t="n"/>
      <c r="AM63" s="21" t="n"/>
      <c r="AN63" s="21" t="n"/>
      <c r="AO63" s="21" t="n"/>
      <c r="AP63" s="21" t="n"/>
      <c r="AQ63" s="21" t="n"/>
      <c r="AR63" s="21" t="n"/>
    </row>
    <row r="64">
      <c r="A64" s="4" t="n"/>
      <c r="B64" s="12" t="n"/>
      <c r="C64" s="20">
        <f>IF($A64="","",SUMPRODUCT($E64:$AR64,$E$3:$AR$3))</f>
        <v/>
      </c>
      <c r="D64" s="19">
        <f>IF(OR($A64="",$B64=""),"",IFERROR($C64/$B64,""))</f>
        <v/>
      </c>
      <c r="E64" s="21" t="n"/>
      <c r="F64" s="21" t="n"/>
      <c r="G64" s="21" t="n"/>
      <c r="H64" s="21" t="n"/>
      <c r="I64" s="21" t="n"/>
      <c r="J64" s="21" t="n"/>
      <c r="K64" s="21" t="n"/>
      <c r="L64" s="21" t="n"/>
      <c r="M64" s="21" t="n"/>
      <c r="N64" s="21" t="n"/>
      <c r="O64" s="21" t="n"/>
      <c r="P64" s="21" t="n"/>
      <c r="Q64" s="21" t="n"/>
      <c r="R64" s="21" t="n"/>
      <c r="S64" s="21" t="n"/>
      <c r="T64" s="21" t="n"/>
      <c r="U64" s="21" t="n"/>
      <c r="V64" s="21" t="n"/>
      <c r="W64" s="21" t="n"/>
      <c r="X64" s="21" t="n"/>
      <c r="Y64" s="21" t="n"/>
      <c r="Z64" s="21" t="n"/>
      <c r="AA64" s="21" t="n"/>
      <c r="AB64" s="21" t="n"/>
      <c r="AC64" s="21" t="n"/>
      <c r="AD64" s="21" t="n"/>
      <c r="AE64" s="21" t="n"/>
      <c r="AF64" s="21" t="n"/>
      <c r="AG64" s="21" t="n"/>
      <c r="AH64" s="21" t="n"/>
      <c r="AI64" s="21" t="n"/>
      <c r="AJ64" s="21" t="n"/>
      <c r="AK64" s="21" t="n"/>
      <c r="AL64" s="21" t="n"/>
      <c r="AM64" s="21" t="n"/>
      <c r="AN64" s="21" t="n"/>
      <c r="AO64" s="21" t="n"/>
      <c r="AP64" s="21" t="n"/>
      <c r="AQ64" s="21" t="n"/>
      <c r="AR64" s="21" t="n"/>
    </row>
    <row r="65">
      <c r="A65" s="4" t="n"/>
      <c r="B65" s="12" t="n"/>
      <c r="C65" s="20">
        <f>IF($A65="","",SUMPRODUCT($E65:$AR65,$E$3:$AR$3))</f>
        <v/>
      </c>
      <c r="D65" s="19">
        <f>IF(OR($A65="",$B65=""),"",IFERROR($C65/$B65,""))</f>
        <v/>
      </c>
      <c r="E65" s="21" t="n"/>
      <c r="F65" s="21" t="n"/>
      <c r="G65" s="21" t="n"/>
      <c r="H65" s="21" t="n"/>
      <c r="I65" s="21" t="n"/>
      <c r="J65" s="21" t="n"/>
      <c r="K65" s="21" t="n"/>
      <c r="L65" s="21" t="n"/>
      <c r="M65" s="21" t="n"/>
      <c r="N65" s="21" t="n"/>
      <c r="O65" s="21" t="n"/>
      <c r="P65" s="21" t="n"/>
      <c r="Q65" s="21" t="n"/>
      <c r="R65" s="21" t="n"/>
      <c r="S65" s="21" t="n"/>
      <c r="T65" s="21" t="n"/>
      <c r="U65" s="21" t="n"/>
      <c r="V65" s="21" t="n"/>
      <c r="W65" s="21" t="n"/>
      <c r="X65" s="21" t="n"/>
      <c r="Y65" s="21" t="n"/>
      <c r="Z65" s="21" t="n"/>
      <c r="AA65" s="21" t="n"/>
      <c r="AB65" s="21" t="n"/>
      <c r="AC65" s="21" t="n"/>
      <c r="AD65" s="21" t="n"/>
      <c r="AE65" s="21" t="n"/>
      <c r="AF65" s="21" t="n"/>
      <c r="AG65" s="21" t="n"/>
      <c r="AH65" s="21" t="n"/>
      <c r="AI65" s="21" t="n"/>
      <c r="AJ65" s="21" t="n"/>
      <c r="AK65" s="21" t="n"/>
      <c r="AL65" s="21" t="n"/>
      <c r="AM65" s="21" t="n"/>
      <c r="AN65" s="21" t="n"/>
      <c r="AO65" s="21" t="n"/>
      <c r="AP65" s="21" t="n"/>
      <c r="AQ65" s="21" t="n"/>
      <c r="AR65" s="21" t="n"/>
    </row>
    <row r="66">
      <c r="A66" s="4" t="n"/>
      <c r="B66" s="12" t="n"/>
      <c r="C66" s="20">
        <f>IF($A66="","",SUMPRODUCT($E66:$AR66,$E$3:$AR$3))</f>
        <v/>
      </c>
      <c r="D66" s="19">
        <f>IF(OR($A66="",$B66=""),"",IFERROR($C66/$B66,""))</f>
        <v/>
      </c>
      <c r="E66" s="21" t="n"/>
      <c r="F66" s="21" t="n"/>
      <c r="G66" s="21" t="n"/>
      <c r="H66" s="21" t="n"/>
      <c r="I66" s="21" t="n"/>
      <c r="J66" s="21" t="n"/>
      <c r="K66" s="21" t="n"/>
      <c r="L66" s="21" t="n"/>
      <c r="M66" s="21" t="n"/>
      <c r="N66" s="21" t="n"/>
      <c r="O66" s="21" t="n"/>
      <c r="P66" s="21" t="n"/>
      <c r="Q66" s="21" t="n"/>
      <c r="R66" s="21" t="n"/>
      <c r="S66" s="21" t="n"/>
      <c r="T66" s="21" t="n"/>
      <c r="U66" s="21" t="n"/>
      <c r="V66" s="21" t="n"/>
      <c r="W66" s="21" t="n"/>
      <c r="X66" s="21" t="n"/>
      <c r="Y66" s="21" t="n"/>
      <c r="Z66" s="21" t="n"/>
      <c r="AA66" s="21" t="n"/>
      <c r="AB66" s="21" t="n"/>
      <c r="AC66" s="21" t="n"/>
      <c r="AD66" s="21" t="n"/>
      <c r="AE66" s="21" t="n"/>
      <c r="AF66" s="21" t="n"/>
      <c r="AG66" s="21" t="n"/>
      <c r="AH66" s="21" t="n"/>
      <c r="AI66" s="21" t="n"/>
      <c r="AJ66" s="21" t="n"/>
      <c r="AK66" s="21" t="n"/>
      <c r="AL66" s="21" t="n"/>
      <c r="AM66" s="21" t="n"/>
      <c r="AN66" s="21" t="n"/>
      <c r="AO66" s="21" t="n"/>
      <c r="AP66" s="21" t="n"/>
      <c r="AQ66" s="21" t="n"/>
      <c r="AR66" s="2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5:D5"/>
    <mergeCell ref="A1:AR1"/>
    <mergeCell ref="A4:D4"/>
    <mergeCell ref="A3:D3"/>
  </mergeCells>
  <conditionalFormatting sqref="E5:AR5">
    <cfRule type="expression" priority="1" dxfId="0">
      <formula>AND(ISNUMBER(E5),E5&gt;='الإعدادات'!$B$7)</formula>
    </cfRule>
  </conditionalFormatting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Q70"/>
  <sheetViews>
    <sheetView showGridLines="0" rightToLeft="1" tabSelected="0" zoomScale="11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2" customWidth="1" min="3" max="3"/>
    <col width="12" customWidth="1" min="4" max="4"/>
    <col width="12" customWidth="1" min="5" max="5"/>
    <col width="12" customWidth="1" min="6" max="6"/>
    <col width="9" customWidth="1" min="7" max="7"/>
    <col width="3" customWidth="1" min="8" max="8"/>
    <col width="10" customWidth="1" min="9" max="9"/>
    <col width="28" customWidth="1" min="10" max="10"/>
    <col width="10" customWidth="1" min="11" max="11"/>
    <col width="12" customWidth="1" min="12" max="12"/>
    <col width="10" customWidth="1" min="13" max="13"/>
    <col width="12" customWidth="1" min="14" max="14"/>
    <col width="12" customWidth="1" min="15" max="15"/>
    <col width="9" customWidth="1" min="16" max="16"/>
    <col width="11" customWidth="1" min="17" max="17"/>
  </cols>
  <sheetData>
    <row r="1">
      <c r="A1" s="22">
        <f>'الإعدادات'!B4</f>
        <v/>
      </c>
    </row>
    <row r="2">
      <c r="A2" s="3" t="inlineStr">
        <is>
          <t>الشهر</t>
        </is>
      </c>
      <c r="B2" s="23">
        <f>'الإعدادات'!B6</f>
        <v/>
      </c>
    </row>
    <row r="3">
      <c r="A3" s="2" t="inlineStr">
        <is>
          <t>الخدمات المقدمة والمستهلكات: اكتب عدد الخدمات وما صُرف فعلًا من المخزن، والباقي يُحسب.</t>
        </is>
      </c>
    </row>
    <row r="4">
      <c r="A4" s="9" t="inlineStr">
        <is>
          <t>حسب الخدمة</t>
        </is>
      </c>
      <c r="I4" s="9" t="inlineStr">
        <is>
          <t>حسب الصنف</t>
        </is>
      </c>
    </row>
    <row r="5" ht="44" customHeight="1">
      <c r="A5" s="7" t="inlineStr">
        <is>
          <t>الخدمة</t>
        </is>
      </c>
      <c r="B5" s="7" t="inlineStr">
        <is>
          <t>عدد الخدمات هذا الشهر</t>
        </is>
      </c>
      <c r="C5" s="7" t="inlineStr">
        <is>
          <t>تكلفة الجلسة حسب الوصفة</t>
        </is>
      </c>
      <c r="D5" s="7" t="inlineStr">
        <is>
          <t>تكلفة متوقعة</t>
        </is>
      </c>
      <c r="E5" s="7" t="inlineStr">
        <is>
          <t>نصيبها من الهدر</t>
        </is>
      </c>
      <c r="F5" s="7" t="inlineStr">
        <is>
          <t>تكلفة الجلسة الفعلية</t>
        </is>
      </c>
      <c r="G5" s="7" t="inlineStr">
        <is>
          <t>من السعر</t>
        </is>
      </c>
      <c r="I5" s="7" t="inlineStr">
        <is>
          <t>الكود</t>
        </is>
      </c>
      <c r="J5" s="7" t="inlineStr">
        <is>
          <t>الصنف</t>
        </is>
      </c>
      <c r="K5" s="7" t="inlineStr">
        <is>
          <t>وحدة الاستخدام</t>
        </is>
      </c>
      <c r="L5" s="7" t="inlineStr">
        <is>
          <t>الاستخدام حسب الوصفة</t>
        </is>
      </c>
      <c r="M5" s="7" t="inlineStr">
        <is>
          <t>بالعبوات</t>
        </is>
      </c>
      <c r="N5" s="7" t="inlineStr">
        <is>
          <t>المصروف فعلًا (عبوات)</t>
        </is>
      </c>
      <c r="O5" s="7" t="inlineStr">
        <is>
          <t>زيادة عن الوصفة</t>
        </is>
      </c>
      <c r="P5" s="7" t="inlineStr">
        <is>
          <t>نسبة الهدر</t>
        </is>
      </c>
      <c r="Q5" s="7" t="inlineStr">
        <is>
          <t>تكلفة الهدر</t>
        </is>
      </c>
    </row>
    <row r="6">
      <c r="A6" s="18">
        <f>IF('الوصفة'!$A7="","",'الوصفة'!$A7)</f>
        <v/>
      </c>
      <c r="B6" s="13" t="n">
        <v>220</v>
      </c>
      <c r="C6" s="20">
        <f>IF($A6="","",'الوصفة'!$C7)</f>
        <v/>
      </c>
      <c r="D6" s="20">
        <f>IF(OR($A6="",$B6=""),"",$B6*$C6)</f>
        <v/>
      </c>
      <c r="E6" s="20">
        <f>IF(OR($A6="",$B6=""),"",$B6*SUMPRODUCT('الوصفة'!$E7:$AR7,'الوصفة'!$E$3:$AR$3,'الوصفة'!$E$5:$AR$5))</f>
        <v/>
      </c>
      <c r="F6" s="20">
        <f>IF(OR($A6="",$B6="",$B6=0),"",($D6+$E6)/$B6)</f>
        <v/>
      </c>
      <c r="G6" s="19">
        <f>IF($F6="","",IFERROR($F6/'الوصفة'!$B7,""))</f>
        <v/>
      </c>
      <c r="I6" s="18">
        <f>IF(INDEX('الأصناف'!$A$3:$A$42,1)="","",INDEX('الأصناف'!$A$3:$A$42,1))</f>
        <v/>
      </c>
      <c r="J6" s="18">
        <f>IF($I6="","",INDEX('الأصناف'!$B$3:$B$42,1))</f>
        <v/>
      </c>
      <c r="K6" s="18">
        <f>IF($I6="","",INDEX('الأصناف'!$F$3:$F$42,1))</f>
        <v/>
      </c>
      <c r="L6" s="24">
        <f>IF($I6="","",SUMPRODUCT('الوصفة'!$E$7:$E$66,$B$6:$B$65))</f>
        <v/>
      </c>
      <c r="M6" s="20">
        <f>IF($I6="","",IFERROR($L6/INDEX('الأصناف'!$E$3:$E$42,1),""))</f>
        <v/>
      </c>
      <c r="N6" s="25" t="n">
        <v>24.31</v>
      </c>
      <c r="O6" s="24">
        <f>IF(OR($I6="",$N6=""),"",$N6*INDEX('الأصناف'!$E$3:$E$42,1)-$L6)</f>
        <v/>
      </c>
      <c r="P6" s="19">
        <f>IF(OR($O6="",$L6=0),"",$O6/$L6)</f>
        <v/>
      </c>
      <c r="Q6" s="20">
        <f>IF($O6="","",MAX(0,$O6)*INDEX('الأصناف'!$G$3:$G$42,1))</f>
        <v/>
      </c>
    </row>
    <row r="7">
      <c r="A7" s="18">
        <f>IF('الوصفة'!$A8="","",'الوصفة'!$A8)</f>
        <v/>
      </c>
      <c r="B7" s="13" t="n">
        <v>260</v>
      </c>
      <c r="C7" s="20">
        <f>IF($A7="","",'الوصفة'!$C8)</f>
        <v/>
      </c>
      <c r="D7" s="20">
        <f>IF(OR($A7="",$B7=""),"",$B7*$C7)</f>
        <v/>
      </c>
      <c r="E7" s="20">
        <f>IF(OR($A7="",$B7=""),"",$B7*SUMPRODUCT('الوصفة'!$E8:$AR8,'الوصفة'!$E$3:$AR$3,'الوصفة'!$E$5:$AR$5))</f>
        <v/>
      </c>
      <c r="F7" s="20">
        <f>IF(OR($A7="",$B7="",$B7=0),"",($D7+$E7)/$B7)</f>
        <v/>
      </c>
      <c r="G7" s="19">
        <f>IF($F7="","",IFERROR($F7/'الوصفة'!$B8,""))</f>
        <v/>
      </c>
      <c r="I7" s="18">
        <f>IF(INDEX('الأصناف'!$A$3:$A$42,2)="","",INDEX('الأصناف'!$A$3:$A$42,2))</f>
        <v/>
      </c>
      <c r="J7" s="18">
        <f>IF($I7="","",INDEX('الأصناف'!$B$3:$B$42,2))</f>
        <v/>
      </c>
      <c r="K7" s="18">
        <f>IF($I7="","",INDEX('الأصناف'!$F$3:$F$42,2))</f>
        <v/>
      </c>
      <c r="L7" s="24">
        <f>IF($I7="","",SUMPRODUCT('الوصفة'!$F$7:$F$66,$B$6:$B$65))</f>
        <v/>
      </c>
      <c r="M7" s="20">
        <f>IF($I7="","",IFERROR($L7/INDEX('الأصناف'!$E$3:$E$42,2),""))</f>
        <v/>
      </c>
      <c r="N7" s="25" t="n">
        <v>3.15</v>
      </c>
      <c r="O7" s="24">
        <f>IF(OR($I7="",$N7=""),"",$N7*INDEX('الأصناف'!$E$3:$E$42,2)-$L7)</f>
        <v/>
      </c>
      <c r="P7" s="19">
        <f>IF(OR($O7="",$L7=0),"",$O7/$L7)</f>
        <v/>
      </c>
      <c r="Q7" s="20">
        <f>IF($O7="","",MAX(0,$O7)*INDEX('الأصناف'!$G$3:$G$42,2))</f>
        <v/>
      </c>
    </row>
    <row r="8">
      <c r="A8" s="18">
        <f>IF('الوصفة'!$A9="","",'الوصفة'!$A9)</f>
        <v/>
      </c>
      <c r="B8" s="13" t="n">
        <v>90</v>
      </c>
      <c r="C8" s="20">
        <f>IF($A8="","",'الوصفة'!$C9)</f>
        <v/>
      </c>
      <c r="D8" s="20">
        <f>IF(OR($A8="",$B8=""),"",$B8*$C8)</f>
        <v/>
      </c>
      <c r="E8" s="20">
        <f>IF(OR($A8="",$B8=""),"",$B8*SUMPRODUCT('الوصفة'!$E9:$AR9,'الوصفة'!$E$3:$AR$3,'الوصفة'!$E$5:$AR$5))</f>
        <v/>
      </c>
      <c r="F8" s="20">
        <f>IF(OR($A8="",$B8="",$B8=0),"",($D8+$E8)/$B8)</f>
        <v/>
      </c>
      <c r="G8" s="19">
        <f>IF($F8="","",IFERROR($F8/'الوصفة'!$B9,""))</f>
        <v/>
      </c>
      <c r="I8" s="18">
        <f>IF(INDEX('الأصناف'!$A$3:$A$42,3)="","",INDEX('الأصناف'!$A$3:$A$42,3))</f>
        <v/>
      </c>
      <c r="J8" s="18">
        <f>IF($I8="","",INDEX('الأصناف'!$B$3:$B$42,3))</f>
        <v/>
      </c>
      <c r="K8" s="18">
        <f>IF($I8="","",INDEX('الأصناف'!$F$3:$F$42,3))</f>
        <v/>
      </c>
      <c r="L8" s="24">
        <f>IF($I8="","",SUMPRODUCT('الوصفة'!$G$7:$G$66,$B$6:$B$65))</f>
        <v/>
      </c>
      <c r="M8" s="20">
        <f>IF($I8="","",IFERROR($L8/INDEX('الأصناف'!$E$3:$E$42,3),""))</f>
        <v/>
      </c>
      <c r="N8" s="25" t="n">
        <v>9.779999999999999</v>
      </c>
      <c r="O8" s="24">
        <f>IF(OR($I8="",$N8=""),"",$N8*INDEX('الأصناف'!$E$3:$E$42,3)-$L8)</f>
        <v/>
      </c>
      <c r="P8" s="19">
        <f>IF(OR($O8="",$L8=0),"",$O8/$L8)</f>
        <v/>
      </c>
      <c r="Q8" s="20">
        <f>IF($O8="","",MAX(0,$O8)*INDEX('الأصناف'!$G$3:$G$42,3))</f>
        <v/>
      </c>
    </row>
    <row r="9">
      <c r="A9" s="18">
        <f>IF('الوصفة'!$A10="","",'الوصفة'!$A10)</f>
        <v/>
      </c>
      <c r="B9" s="13" t="n">
        <v>44</v>
      </c>
      <c r="C9" s="20">
        <f>IF($A9="","",'الوصفة'!$C10)</f>
        <v/>
      </c>
      <c r="D9" s="20">
        <f>IF(OR($A9="",$B9=""),"",$B9*$C9)</f>
        <v/>
      </c>
      <c r="E9" s="20">
        <f>IF(OR($A9="",$B9=""),"",$B9*SUMPRODUCT('الوصفة'!$E10:$AR10,'الوصفة'!$E$3:$AR$3,'الوصفة'!$E$5:$AR$5))</f>
        <v/>
      </c>
      <c r="F9" s="20">
        <f>IF(OR($A9="",$B9="",$B9=0),"",($D9+$E9)/$B9)</f>
        <v/>
      </c>
      <c r="G9" s="19">
        <f>IF($F9="","",IFERROR($F9/'الوصفة'!$B10,""))</f>
        <v/>
      </c>
      <c r="I9" s="18">
        <f>IF(INDEX('الأصناف'!$A$3:$A$42,4)="","",INDEX('الأصناف'!$A$3:$A$42,4))</f>
        <v/>
      </c>
      <c r="J9" s="18">
        <f>IF($I9="","",INDEX('الأصناف'!$B$3:$B$42,4))</f>
        <v/>
      </c>
      <c r="K9" s="18">
        <f>IF($I9="","",INDEX('الأصناف'!$F$3:$F$42,4))</f>
        <v/>
      </c>
      <c r="L9" s="24">
        <f>IF($I9="","",SUMPRODUCT('الوصفة'!$H$7:$H$66,$B$6:$B$65))</f>
        <v/>
      </c>
      <c r="M9" s="20">
        <f>IF($I9="","",IFERROR($L9/INDEX('الأصناف'!$E$3:$E$42,4),""))</f>
        <v/>
      </c>
      <c r="N9" s="25" t="n">
        <v>4.85</v>
      </c>
      <c r="O9" s="24">
        <f>IF(OR($I9="",$N9=""),"",$N9*INDEX('الأصناف'!$E$3:$E$42,4)-$L9)</f>
        <v/>
      </c>
      <c r="P9" s="19">
        <f>IF(OR($O9="",$L9=0),"",$O9/$L9)</f>
        <v/>
      </c>
      <c r="Q9" s="20">
        <f>IF($O9="","",MAX(0,$O9)*INDEX('الأصناف'!$G$3:$G$42,4))</f>
        <v/>
      </c>
    </row>
    <row r="10">
      <c r="A10" s="18">
        <f>IF('الوصفة'!$A11="","",'الوصفة'!$A11)</f>
        <v/>
      </c>
      <c r="B10" s="13" t="n">
        <v>67</v>
      </c>
      <c r="C10" s="20">
        <f>IF($A10="","",'الوصفة'!$C11)</f>
        <v/>
      </c>
      <c r="D10" s="20">
        <f>IF(OR($A10="",$B10=""),"",$B10*$C10)</f>
        <v/>
      </c>
      <c r="E10" s="20">
        <f>IF(OR($A10="",$B10=""),"",$B10*SUMPRODUCT('الوصفة'!$E11:$AR11,'الوصفة'!$E$3:$AR$3,'الوصفة'!$E$5:$AR$5))</f>
        <v/>
      </c>
      <c r="F10" s="20">
        <f>IF(OR($A10="",$B10="",$B10=0),"",($D10+$E10)/$B10)</f>
        <v/>
      </c>
      <c r="G10" s="19">
        <f>IF($F10="","",IFERROR($F10/'الوصفة'!$B11,""))</f>
        <v/>
      </c>
      <c r="I10" s="18">
        <f>IF(INDEX('الأصناف'!$A$3:$A$42,5)="","",INDEX('الأصناف'!$A$3:$A$42,5))</f>
        <v/>
      </c>
      <c r="J10" s="18">
        <f>IF($I10="","",INDEX('الأصناف'!$B$3:$B$42,5))</f>
        <v/>
      </c>
      <c r="K10" s="18">
        <f>IF($I10="","",INDEX('الأصناف'!$F$3:$F$42,5))</f>
        <v/>
      </c>
      <c r="L10" s="24">
        <f>IF($I10="","",SUMPRODUCT('الوصفة'!$I$7:$I$66,$B$6:$B$65))</f>
        <v/>
      </c>
      <c r="M10" s="20">
        <f>IF($I10="","",IFERROR($L10/INDEX('الأصناف'!$E$3:$E$42,5),""))</f>
        <v/>
      </c>
      <c r="N10" s="25" t="n">
        <v>0.43</v>
      </c>
      <c r="O10" s="24">
        <f>IF(OR($I10="",$N10=""),"",$N10*INDEX('الأصناف'!$E$3:$E$42,5)-$L10)</f>
        <v/>
      </c>
      <c r="P10" s="19">
        <f>IF(OR($O10="",$L10=0),"",$O10/$L10)</f>
        <v/>
      </c>
      <c r="Q10" s="20">
        <f>IF($O10="","",MAX(0,$O10)*INDEX('الأصناف'!$G$3:$G$42,5))</f>
        <v/>
      </c>
    </row>
    <row r="11">
      <c r="A11" s="18">
        <f>IF('الوصفة'!$A12="","",'الوصفة'!$A12)</f>
        <v/>
      </c>
      <c r="B11" s="13" t="n">
        <v>28</v>
      </c>
      <c r="C11" s="20">
        <f>IF($A11="","",'الوصفة'!$C12)</f>
        <v/>
      </c>
      <c r="D11" s="20">
        <f>IF(OR($A11="",$B11=""),"",$B11*$C11)</f>
        <v/>
      </c>
      <c r="E11" s="20">
        <f>IF(OR($A11="",$B11=""),"",$B11*SUMPRODUCT('الوصفة'!$E12:$AR12,'الوصفة'!$E$3:$AR$3,'الوصفة'!$E$5:$AR$5))</f>
        <v/>
      </c>
      <c r="F11" s="20">
        <f>IF(OR($A11="",$B11="",$B11=0),"",($D11+$E11)/$B11)</f>
        <v/>
      </c>
      <c r="G11" s="19">
        <f>IF($F11="","",IFERROR($F11/'الوصفة'!$B12,""))</f>
        <v/>
      </c>
      <c r="I11" s="18">
        <f>IF(INDEX('الأصناف'!$A$3:$A$42,6)="","",INDEX('الأصناف'!$A$3:$A$42,6))</f>
        <v/>
      </c>
      <c r="J11" s="18">
        <f>IF($I11="","",INDEX('الأصناف'!$B$3:$B$42,6))</f>
        <v/>
      </c>
      <c r="K11" s="18">
        <f>IF($I11="","",INDEX('الأصناف'!$F$3:$F$42,6))</f>
        <v/>
      </c>
      <c r="L11" s="24">
        <f>IF($I11="","",SUMPRODUCT('الوصفة'!$J$7:$J$66,$B$6:$B$65))</f>
        <v/>
      </c>
      <c r="M11" s="20">
        <f>IF($I11="","",IFERROR($L11/INDEX('الأصناف'!$E$3:$E$42,6),""))</f>
        <v/>
      </c>
      <c r="N11" s="25" t="n">
        <v>1.91</v>
      </c>
      <c r="O11" s="24">
        <f>IF(OR($I11="",$N11=""),"",$N11*INDEX('الأصناف'!$E$3:$E$42,6)-$L11)</f>
        <v/>
      </c>
      <c r="P11" s="19">
        <f>IF(OR($O11="",$L11=0),"",$O11/$L11)</f>
        <v/>
      </c>
      <c r="Q11" s="20">
        <f>IF($O11="","",MAX(0,$O11)*INDEX('الأصناف'!$G$3:$G$42,6))</f>
        <v/>
      </c>
    </row>
    <row r="12">
      <c r="A12" s="18">
        <f>IF('الوصفة'!$A13="","",'الوصفة'!$A13)</f>
        <v/>
      </c>
      <c r="B12" s="13" t="n">
        <v>40</v>
      </c>
      <c r="C12" s="20">
        <f>IF($A12="","",'الوصفة'!$C13)</f>
        <v/>
      </c>
      <c r="D12" s="20">
        <f>IF(OR($A12="",$B12=""),"",$B12*$C12)</f>
        <v/>
      </c>
      <c r="E12" s="20">
        <f>IF(OR($A12="",$B12=""),"",$B12*SUMPRODUCT('الوصفة'!$E13:$AR13,'الوصفة'!$E$3:$AR$3,'الوصفة'!$E$5:$AR$5))</f>
        <v/>
      </c>
      <c r="F12" s="20">
        <f>IF(OR($A12="",$B12="",$B12=0),"",($D12+$E12)/$B12)</f>
        <v/>
      </c>
      <c r="G12" s="19">
        <f>IF($F12="","",IFERROR($F12/'الوصفة'!$B13,""))</f>
        <v/>
      </c>
      <c r="I12" s="18">
        <f>IF(INDEX('الأصناف'!$A$3:$A$42,7)="","",INDEX('الأصناف'!$A$3:$A$42,7))</f>
        <v/>
      </c>
      <c r="J12" s="18">
        <f>IF($I12="","",INDEX('الأصناف'!$B$3:$B$42,7))</f>
        <v/>
      </c>
      <c r="K12" s="18">
        <f>IF($I12="","",INDEX('الأصناف'!$F$3:$F$42,7))</f>
        <v/>
      </c>
      <c r="L12" s="24">
        <f>IF($I12="","",SUMPRODUCT('الوصفة'!$K$7:$K$66,$B$6:$B$65))</f>
        <v/>
      </c>
      <c r="M12" s="20">
        <f>IF($I12="","",IFERROR($L12/INDEX('الأصناف'!$E$3:$E$42,7),""))</f>
        <v/>
      </c>
      <c r="N12" s="25" t="n">
        <v>5.19</v>
      </c>
      <c r="O12" s="24">
        <f>IF(OR($I12="",$N12=""),"",$N12*INDEX('الأصناف'!$E$3:$E$42,7)-$L12)</f>
        <v/>
      </c>
      <c r="P12" s="19">
        <f>IF(OR($O12="",$L12=0),"",$O12/$L12)</f>
        <v/>
      </c>
      <c r="Q12" s="20">
        <f>IF($O12="","",MAX(0,$O12)*INDEX('الأصناف'!$G$3:$G$42,7))</f>
        <v/>
      </c>
    </row>
    <row r="13">
      <c r="A13" s="18">
        <f>IF('الوصفة'!$A14="","",'الوصفة'!$A14)</f>
        <v/>
      </c>
      <c r="B13" s="13" t="n">
        <v>55</v>
      </c>
      <c r="C13" s="20">
        <f>IF($A13="","",'الوصفة'!$C14)</f>
        <v/>
      </c>
      <c r="D13" s="20">
        <f>IF(OR($A13="",$B13=""),"",$B13*$C13)</f>
        <v/>
      </c>
      <c r="E13" s="20">
        <f>IF(OR($A13="",$B13=""),"",$B13*SUMPRODUCT('الوصفة'!$E14:$AR14,'الوصفة'!$E$3:$AR$3,'الوصفة'!$E$5:$AR$5))</f>
        <v/>
      </c>
      <c r="F13" s="20">
        <f>IF(OR($A13="",$B13="",$B13=0),"",($D13+$E13)/$B13)</f>
        <v/>
      </c>
      <c r="G13" s="19">
        <f>IF($F13="","",IFERROR($F13/'الوصفة'!$B14,""))</f>
        <v/>
      </c>
      <c r="I13" s="18">
        <f>IF(INDEX('الأصناف'!$A$3:$A$42,8)="","",INDEX('الأصناف'!$A$3:$A$42,8))</f>
        <v/>
      </c>
      <c r="J13" s="18">
        <f>IF($I13="","",INDEX('الأصناف'!$B$3:$B$42,8))</f>
        <v/>
      </c>
      <c r="K13" s="18">
        <f>IF($I13="","",INDEX('الأصناف'!$F$3:$F$42,8))</f>
        <v/>
      </c>
      <c r="L13" s="24">
        <f>IF($I13="","",SUMPRODUCT('الوصفة'!$L$7:$L$66,$B$6:$B$65))</f>
        <v/>
      </c>
      <c r="M13" s="20">
        <f>IF($I13="","",IFERROR($L13/INDEX('الأصناف'!$E$3:$E$42,8),""))</f>
        <v/>
      </c>
      <c r="N13" s="25" t="n">
        <v>2.06</v>
      </c>
      <c r="O13" s="24">
        <f>IF(OR($I13="",$N13=""),"",$N13*INDEX('الأصناف'!$E$3:$E$42,8)-$L13)</f>
        <v/>
      </c>
      <c r="P13" s="19">
        <f>IF(OR($O13="",$L13=0),"",$O13/$L13)</f>
        <v/>
      </c>
      <c r="Q13" s="20">
        <f>IF($O13="","",MAX(0,$O13)*INDEX('الأصناف'!$G$3:$G$42,8))</f>
        <v/>
      </c>
    </row>
    <row r="14">
      <c r="A14" s="18">
        <f>IF('الوصفة'!$A15="","",'الوصفة'!$A15)</f>
        <v/>
      </c>
      <c r="B14" s="13" t="n">
        <v>18</v>
      </c>
      <c r="C14" s="20">
        <f>IF($A14="","",'الوصفة'!$C15)</f>
        <v/>
      </c>
      <c r="D14" s="20">
        <f>IF(OR($A14="",$B14=""),"",$B14*$C14)</f>
        <v/>
      </c>
      <c r="E14" s="20">
        <f>IF(OR($A14="",$B14=""),"",$B14*SUMPRODUCT('الوصفة'!$E15:$AR15,'الوصفة'!$E$3:$AR$3,'الوصفة'!$E$5:$AR$5))</f>
        <v/>
      </c>
      <c r="F14" s="20">
        <f>IF(OR($A14="",$B14="",$B14=0),"",($D14+$E14)/$B14)</f>
        <v/>
      </c>
      <c r="G14" s="19">
        <f>IF($F14="","",IFERROR($F14/'الوصفة'!$B15,""))</f>
        <v/>
      </c>
      <c r="I14" s="18">
        <f>IF(INDEX('الأصناف'!$A$3:$A$42,9)="","",INDEX('الأصناف'!$A$3:$A$42,9))</f>
        <v/>
      </c>
      <c r="J14" s="18">
        <f>IF($I14="","",INDEX('الأصناف'!$B$3:$B$42,9))</f>
        <v/>
      </c>
      <c r="K14" s="18">
        <f>IF($I14="","",INDEX('الأصناف'!$F$3:$F$42,9))</f>
        <v/>
      </c>
      <c r="L14" s="24">
        <f>IF($I14="","",SUMPRODUCT('الوصفة'!$M$7:$M$66,$B$6:$B$65))</f>
        <v/>
      </c>
      <c r="M14" s="20">
        <f>IF($I14="","",IFERROR($L14/INDEX('الأصناف'!$E$3:$E$42,9),""))</f>
        <v/>
      </c>
      <c r="N14" s="25" t="n">
        <v>3</v>
      </c>
      <c r="O14" s="24">
        <f>IF(OR($I14="",$N14=""),"",$N14*INDEX('الأصناف'!$E$3:$E$42,9)-$L14)</f>
        <v/>
      </c>
      <c r="P14" s="19">
        <f>IF(OR($O14="",$L14=0),"",$O14/$L14)</f>
        <v/>
      </c>
      <c r="Q14" s="20">
        <f>IF($O14="","",MAX(0,$O14)*INDEX('الأصناف'!$G$3:$G$42,9))</f>
        <v/>
      </c>
    </row>
    <row r="15">
      <c r="A15" s="18">
        <f>IF('الوصفة'!$A16="","",'الوصفة'!$A16)</f>
        <v/>
      </c>
      <c r="B15" s="13" t="n">
        <v>22</v>
      </c>
      <c r="C15" s="20">
        <f>IF($A15="","",'الوصفة'!$C16)</f>
        <v/>
      </c>
      <c r="D15" s="20">
        <f>IF(OR($A15="",$B15=""),"",$B15*$C15)</f>
        <v/>
      </c>
      <c r="E15" s="20">
        <f>IF(OR($A15="",$B15=""),"",$B15*SUMPRODUCT('الوصفة'!$E16:$AR16,'الوصفة'!$E$3:$AR$3,'الوصفة'!$E$5:$AR$5))</f>
        <v/>
      </c>
      <c r="F15" s="20">
        <f>IF(OR($A15="",$B15="",$B15=0),"",($D15+$E15)/$B15)</f>
        <v/>
      </c>
      <c r="G15" s="19">
        <f>IF($F15="","",IFERROR($F15/'الوصفة'!$B16,""))</f>
        <v/>
      </c>
      <c r="I15" s="18">
        <f>IF(INDEX('الأصناف'!$A$3:$A$42,10)="","",INDEX('الأصناف'!$A$3:$A$42,10))</f>
        <v/>
      </c>
      <c r="J15" s="18">
        <f>IF($I15="","",INDEX('الأصناف'!$B$3:$B$42,10))</f>
        <v/>
      </c>
      <c r="K15" s="18">
        <f>IF($I15="","",INDEX('الأصناف'!$F$3:$F$42,10))</f>
        <v/>
      </c>
      <c r="L15" s="24">
        <f>IF($I15="","",SUMPRODUCT('الوصفة'!$N$7:$N$66,$B$6:$B$65))</f>
        <v/>
      </c>
      <c r="M15" s="20">
        <f>IF($I15="","",IFERROR($L15/INDEX('الأصناف'!$E$3:$E$42,10),""))</f>
        <v/>
      </c>
      <c r="N15" s="25" t="n">
        <v>21</v>
      </c>
      <c r="O15" s="24">
        <f>IF(OR($I15="",$N15=""),"",$N15*INDEX('الأصناف'!$E$3:$E$42,10)-$L15)</f>
        <v/>
      </c>
      <c r="P15" s="19">
        <f>IF(OR($O15="",$L15=0),"",$O15/$L15)</f>
        <v/>
      </c>
      <c r="Q15" s="20">
        <f>IF($O15="","",MAX(0,$O15)*INDEX('الأصناف'!$G$3:$G$42,10))</f>
        <v/>
      </c>
    </row>
    <row r="16">
      <c r="A16" s="18">
        <f>IF('الوصفة'!$A17="","",'الوصفة'!$A17)</f>
        <v/>
      </c>
      <c r="B16" s="13" t="n">
        <v>30</v>
      </c>
      <c r="C16" s="20">
        <f>IF($A16="","",'الوصفة'!$C17)</f>
        <v/>
      </c>
      <c r="D16" s="20">
        <f>IF(OR($A16="",$B16=""),"",$B16*$C16)</f>
        <v/>
      </c>
      <c r="E16" s="20">
        <f>IF(OR($A16="",$B16=""),"",$B16*SUMPRODUCT('الوصفة'!$E17:$AR17,'الوصفة'!$E$3:$AR$3,'الوصفة'!$E$5:$AR$5))</f>
        <v/>
      </c>
      <c r="F16" s="20">
        <f>IF(OR($A16="",$B16="",$B16=0),"",($D16+$E16)/$B16)</f>
        <v/>
      </c>
      <c r="G16" s="19">
        <f>IF($F16="","",IFERROR($F16/'الوصفة'!$B17,""))</f>
        <v/>
      </c>
      <c r="I16" s="18">
        <f>IF(INDEX('الأصناف'!$A$3:$A$42,11)="","",INDEX('الأصناف'!$A$3:$A$42,11))</f>
        <v/>
      </c>
      <c r="J16" s="18">
        <f>IF($I16="","",INDEX('الأصناف'!$B$3:$B$42,11))</f>
        <v/>
      </c>
      <c r="K16" s="18">
        <f>IF($I16="","",INDEX('الأصناف'!$F$3:$F$42,11))</f>
        <v/>
      </c>
      <c r="L16" s="24">
        <f>IF($I16="","",SUMPRODUCT('الوصفة'!$O$7:$O$66,$B$6:$B$65))</f>
        <v/>
      </c>
      <c r="M16" s="20">
        <f>IF($I16="","",IFERROR($L16/INDEX('الأصناف'!$E$3:$E$42,11),""))</f>
        <v/>
      </c>
      <c r="N16" s="25" t="n">
        <v>25.44</v>
      </c>
      <c r="O16" s="24">
        <f>IF(OR($I16="",$N16=""),"",$N16*INDEX('الأصناف'!$E$3:$E$42,11)-$L16)</f>
        <v/>
      </c>
      <c r="P16" s="19">
        <f>IF(OR($O16="",$L16=0),"",$O16/$L16)</f>
        <v/>
      </c>
      <c r="Q16" s="20">
        <f>IF($O16="","",MAX(0,$O16)*INDEX('الأصناف'!$G$3:$G$42,11))</f>
        <v/>
      </c>
    </row>
    <row r="17">
      <c r="A17" s="18">
        <f>IF('الوصفة'!$A18="","",'الوصفة'!$A18)</f>
        <v/>
      </c>
      <c r="B17" s="13" t="n">
        <v>20</v>
      </c>
      <c r="C17" s="20">
        <f>IF($A17="","",'الوصفة'!$C18)</f>
        <v/>
      </c>
      <c r="D17" s="20">
        <f>IF(OR($A17="",$B17=""),"",$B17*$C17)</f>
        <v/>
      </c>
      <c r="E17" s="20">
        <f>IF(OR($A17="",$B17=""),"",$B17*SUMPRODUCT('الوصفة'!$E18:$AR18,'الوصفة'!$E$3:$AR$3,'الوصفة'!$E$5:$AR$5))</f>
        <v/>
      </c>
      <c r="F17" s="20">
        <f>IF(OR($A17="",$B17="",$B17=0),"",($D17+$E17)/$B17)</f>
        <v/>
      </c>
      <c r="G17" s="19">
        <f>IF($F17="","",IFERROR($F17/'الوصفة'!$B18,""))</f>
        <v/>
      </c>
      <c r="I17" s="18">
        <f>IF(INDEX('الأصناف'!$A$3:$A$42,12)="","",INDEX('الأصناف'!$A$3:$A$42,12))</f>
        <v/>
      </c>
      <c r="J17" s="18">
        <f>IF($I17="","",INDEX('الأصناف'!$B$3:$B$42,12))</f>
        <v/>
      </c>
      <c r="K17" s="18">
        <f>IF($I17="","",INDEX('الأصناف'!$F$3:$F$42,12))</f>
        <v/>
      </c>
      <c r="L17" s="24">
        <f>IF($I17="","",SUMPRODUCT('الوصفة'!$P$7:$P$66,$B$6:$B$65))</f>
        <v/>
      </c>
      <c r="M17" s="20">
        <f>IF($I17="","",IFERROR($L17/INDEX('الأصناف'!$E$3:$E$42,12),""))</f>
        <v/>
      </c>
      <c r="N17" s="25" t="n">
        <v>6.75</v>
      </c>
      <c r="O17" s="24">
        <f>IF(OR($I17="",$N17=""),"",$N17*INDEX('الأصناف'!$E$3:$E$42,12)-$L17)</f>
        <v/>
      </c>
      <c r="P17" s="19">
        <f>IF(OR($O17="",$L17=0),"",$O17/$L17)</f>
        <v/>
      </c>
      <c r="Q17" s="20">
        <f>IF($O17="","",MAX(0,$O17)*INDEX('الأصناف'!$G$3:$G$42,12))</f>
        <v/>
      </c>
    </row>
    <row r="18">
      <c r="A18" s="18">
        <f>IF('الوصفة'!$A19="","",'الوصفة'!$A19)</f>
        <v/>
      </c>
      <c r="B18" s="13" t="n">
        <v>16</v>
      </c>
      <c r="C18" s="20">
        <f>IF($A18="","",'الوصفة'!$C19)</f>
        <v/>
      </c>
      <c r="D18" s="20">
        <f>IF(OR($A18="",$B18=""),"",$B18*$C18)</f>
        <v/>
      </c>
      <c r="E18" s="20">
        <f>IF(OR($A18="",$B18=""),"",$B18*SUMPRODUCT('الوصفة'!$E19:$AR19,'الوصفة'!$E$3:$AR$3,'الوصفة'!$E$5:$AR$5))</f>
        <v/>
      </c>
      <c r="F18" s="20">
        <f>IF(OR($A18="",$B18="",$B18=0),"",($D18+$E18)/$B18)</f>
        <v/>
      </c>
      <c r="G18" s="19">
        <f>IF($F18="","",IFERROR($F18/'الوصفة'!$B19,""))</f>
        <v/>
      </c>
      <c r="I18" s="18">
        <f>IF(INDEX('الأصناف'!$A$3:$A$42,13)="","",INDEX('الأصناف'!$A$3:$A$42,13))</f>
        <v/>
      </c>
      <c r="J18" s="18">
        <f>IF($I18="","",INDEX('الأصناف'!$B$3:$B$42,13))</f>
        <v/>
      </c>
      <c r="K18" s="18">
        <f>IF($I18="","",INDEX('الأصناف'!$F$3:$F$42,13))</f>
        <v/>
      </c>
      <c r="L18" s="24">
        <f>IF($I18="","",SUMPRODUCT('الوصفة'!$Q$7:$Q$66,$B$6:$B$65))</f>
        <v/>
      </c>
      <c r="M18" s="20">
        <f>IF($I18="","",IFERROR($L18/INDEX('الأصناف'!$E$3:$E$42,13),""))</f>
        <v/>
      </c>
      <c r="N18" s="25" t="n">
        <v>0.19</v>
      </c>
      <c r="O18" s="24">
        <f>IF(OR($I18="",$N18=""),"",$N18*INDEX('الأصناف'!$E$3:$E$42,13)-$L18)</f>
        <v/>
      </c>
      <c r="P18" s="19">
        <f>IF(OR($O18="",$L18=0),"",$O18/$L18)</f>
        <v/>
      </c>
      <c r="Q18" s="20">
        <f>IF($O18="","",MAX(0,$O18)*INDEX('الأصناف'!$G$3:$G$42,13))</f>
        <v/>
      </c>
    </row>
    <row r="19">
      <c r="A19" s="18">
        <f>IF('الوصفة'!$A20="","",'الوصفة'!$A20)</f>
        <v/>
      </c>
      <c r="B19" s="13" t="n">
        <v>28</v>
      </c>
      <c r="C19" s="20">
        <f>IF($A19="","",'الوصفة'!$C20)</f>
        <v/>
      </c>
      <c r="D19" s="20">
        <f>IF(OR($A19="",$B19=""),"",$B19*$C19)</f>
        <v/>
      </c>
      <c r="E19" s="20">
        <f>IF(OR($A19="",$B19=""),"",$B19*SUMPRODUCT('الوصفة'!$E20:$AR20,'الوصفة'!$E$3:$AR$3,'الوصفة'!$E$5:$AR$5))</f>
        <v/>
      </c>
      <c r="F19" s="20">
        <f>IF(OR($A19="",$B19="",$B19=0),"",($D19+$E19)/$B19)</f>
        <v/>
      </c>
      <c r="G19" s="19">
        <f>IF($F19="","",IFERROR($F19/'الوصفة'!$B20,""))</f>
        <v/>
      </c>
      <c r="I19" s="18">
        <f>IF(INDEX('الأصناف'!$A$3:$A$42,14)="","",INDEX('الأصناف'!$A$3:$A$42,14))</f>
        <v/>
      </c>
      <c r="J19" s="18">
        <f>IF($I19="","",INDEX('الأصناف'!$B$3:$B$42,14))</f>
        <v/>
      </c>
      <c r="K19" s="18">
        <f>IF($I19="","",INDEX('الأصناف'!$F$3:$F$42,14))</f>
        <v/>
      </c>
      <c r="L19" s="24">
        <f>IF($I19="","",SUMPRODUCT('الوصفة'!$R$7:$R$66,$B$6:$B$65))</f>
        <v/>
      </c>
      <c r="M19" s="20">
        <f>IF($I19="","",IFERROR($L19/INDEX('الأصناف'!$E$3:$E$42,14),""))</f>
        <v/>
      </c>
      <c r="N19" s="25" t="n">
        <v>4.37</v>
      </c>
      <c r="O19" s="24">
        <f>IF(OR($I19="",$N19=""),"",$N19*INDEX('الأصناف'!$E$3:$E$42,14)-$L19)</f>
        <v/>
      </c>
      <c r="P19" s="19">
        <f>IF(OR($O19="",$L19=0),"",$O19/$L19)</f>
        <v/>
      </c>
      <c r="Q19" s="20">
        <f>IF($O19="","",MAX(0,$O19)*INDEX('الأصناف'!$G$3:$G$42,14))</f>
        <v/>
      </c>
    </row>
    <row r="20">
      <c r="A20" s="18">
        <f>IF('الوصفة'!$A21="","",'الوصفة'!$A21)</f>
        <v/>
      </c>
      <c r="B20" s="13" t="n">
        <v>180</v>
      </c>
      <c r="C20" s="20">
        <f>IF($A20="","",'الوصفة'!$C21)</f>
        <v/>
      </c>
      <c r="D20" s="20">
        <f>IF(OR($A20="",$B20=""),"",$B20*$C20)</f>
        <v/>
      </c>
      <c r="E20" s="20">
        <f>IF(OR($A20="",$B20=""),"",$B20*SUMPRODUCT('الوصفة'!$E21:$AR21,'الوصفة'!$E$3:$AR$3,'الوصفة'!$E$5:$AR$5))</f>
        <v/>
      </c>
      <c r="F20" s="20">
        <f>IF(OR($A20="",$B20="",$B20=0),"",($D20+$E20)/$B20)</f>
        <v/>
      </c>
      <c r="G20" s="19">
        <f>IF($F20="","",IFERROR($F20/'الوصفة'!$B21,""))</f>
        <v/>
      </c>
      <c r="I20" s="18">
        <f>IF(INDEX('الأصناف'!$A$3:$A$42,15)="","",INDEX('الأصناف'!$A$3:$A$42,15))</f>
        <v/>
      </c>
      <c r="J20" s="18">
        <f>IF($I20="","",INDEX('الأصناف'!$B$3:$B$42,15))</f>
        <v/>
      </c>
      <c r="K20" s="18">
        <f>IF($I20="","",INDEX('الأصناف'!$F$3:$F$42,15))</f>
        <v/>
      </c>
      <c r="L20" s="24">
        <f>IF($I20="","",SUMPRODUCT('الوصفة'!$S$7:$S$66,$B$6:$B$65))</f>
        <v/>
      </c>
      <c r="M20" s="20">
        <f>IF($I20="","",IFERROR($L20/INDEX('الأصناف'!$E$3:$E$42,15),""))</f>
        <v/>
      </c>
      <c r="N20" s="25" t="n">
        <v>4.16</v>
      </c>
      <c r="O20" s="24">
        <f>IF(OR($I20="",$N20=""),"",$N20*INDEX('الأصناف'!$E$3:$E$42,15)-$L20)</f>
        <v/>
      </c>
      <c r="P20" s="19">
        <f>IF(OR($O20="",$L20=0),"",$O20/$L20)</f>
        <v/>
      </c>
      <c r="Q20" s="20">
        <f>IF($O20="","",MAX(0,$O20)*INDEX('الأصناف'!$G$3:$G$42,15))</f>
        <v/>
      </c>
    </row>
    <row r="21">
      <c r="A21" s="18">
        <f>IF('الوصفة'!$A22="","",'الوصفة'!$A22)</f>
        <v/>
      </c>
      <c r="B21" s="13" t="n">
        <v>40</v>
      </c>
      <c r="C21" s="20">
        <f>IF($A21="","",'الوصفة'!$C22)</f>
        <v/>
      </c>
      <c r="D21" s="20">
        <f>IF(OR($A21="",$B21=""),"",$B21*$C21)</f>
        <v/>
      </c>
      <c r="E21" s="20">
        <f>IF(OR($A21="",$B21=""),"",$B21*SUMPRODUCT('الوصفة'!$E22:$AR22,'الوصفة'!$E$3:$AR$3,'الوصفة'!$E$5:$AR$5))</f>
        <v/>
      </c>
      <c r="F21" s="20">
        <f>IF(OR($A21="",$B21="",$B21=0),"",($D21+$E21)/$B21)</f>
        <v/>
      </c>
      <c r="G21" s="19">
        <f>IF($F21="","",IFERROR($F21/'الوصفة'!$B22,""))</f>
        <v/>
      </c>
      <c r="I21" s="18">
        <f>IF(INDEX('الأصناف'!$A$3:$A$42,16)="","",INDEX('الأصناف'!$A$3:$A$42,16))</f>
        <v/>
      </c>
      <c r="J21" s="18">
        <f>IF($I21="","",INDEX('الأصناف'!$B$3:$B$42,16))</f>
        <v/>
      </c>
      <c r="K21" s="18">
        <f>IF($I21="","",INDEX('الأصناف'!$F$3:$F$42,16))</f>
        <v/>
      </c>
      <c r="L21" s="24">
        <f>IF($I21="","",SUMPRODUCT('الوصفة'!$T$7:$T$66,$B$6:$B$65))</f>
        <v/>
      </c>
      <c r="M21" s="20">
        <f>IF($I21="","",IFERROR($L21/INDEX('الأصناف'!$E$3:$E$42,16),""))</f>
        <v/>
      </c>
      <c r="N21" s="25" t="n">
        <v>25.43</v>
      </c>
      <c r="O21" s="24">
        <f>IF(OR($I21="",$N21=""),"",$N21*INDEX('الأصناف'!$E$3:$E$42,16)-$L21)</f>
        <v/>
      </c>
      <c r="P21" s="19">
        <f>IF(OR($O21="",$L21=0),"",$O21/$L21)</f>
        <v/>
      </c>
      <c r="Q21" s="20">
        <f>IF($O21="","",MAX(0,$O21)*INDEX('الأصناف'!$G$3:$G$42,16))</f>
        <v/>
      </c>
    </row>
    <row r="22">
      <c r="A22" s="18">
        <f>IF('الوصفة'!$A23="","",'الوصفة'!$A23)</f>
        <v/>
      </c>
      <c r="B22" s="13" t="n">
        <v>35</v>
      </c>
      <c r="C22" s="20">
        <f>IF($A22="","",'الوصفة'!$C23)</f>
        <v/>
      </c>
      <c r="D22" s="20">
        <f>IF(OR($A22="",$B22=""),"",$B22*$C22)</f>
        <v/>
      </c>
      <c r="E22" s="20">
        <f>IF(OR($A22="",$B22=""),"",$B22*SUMPRODUCT('الوصفة'!$E23:$AR23,'الوصفة'!$E$3:$AR$3,'الوصفة'!$E$5:$AR$5))</f>
        <v/>
      </c>
      <c r="F22" s="20">
        <f>IF(OR($A22="",$B22="",$B22=0),"",($D22+$E22)/$B22)</f>
        <v/>
      </c>
      <c r="G22" s="19">
        <f>IF($F22="","",IFERROR($F22/'الوصفة'!$B23,""))</f>
        <v/>
      </c>
      <c r="I22" s="18">
        <f>IF(INDEX('الأصناف'!$A$3:$A$42,17)="","",INDEX('الأصناف'!$A$3:$A$42,17))</f>
        <v/>
      </c>
      <c r="J22" s="18">
        <f>IF($I22="","",INDEX('الأصناف'!$B$3:$B$42,17))</f>
        <v/>
      </c>
      <c r="K22" s="18">
        <f>IF($I22="","",INDEX('الأصناف'!$F$3:$F$42,17))</f>
        <v/>
      </c>
      <c r="L22" s="24">
        <f>IF($I22="","",SUMPRODUCT('الوصفة'!$U$7:$U$66,$B$6:$B$65))</f>
        <v/>
      </c>
      <c r="M22" s="20">
        <f>IF($I22="","",IFERROR($L22/INDEX('الأصناف'!$E$3:$E$42,17),""))</f>
        <v/>
      </c>
      <c r="N22" s="25" t="n">
        <v>2.43</v>
      </c>
      <c r="O22" s="24">
        <f>IF(OR($I22="",$N22=""),"",$N22*INDEX('الأصناف'!$E$3:$E$42,17)-$L22)</f>
        <v/>
      </c>
      <c r="P22" s="19">
        <f>IF(OR($O22="",$L22=0),"",$O22/$L22)</f>
        <v/>
      </c>
      <c r="Q22" s="20">
        <f>IF($O22="","",MAX(0,$O22)*INDEX('الأصناف'!$G$3:$G$42,17))</f>
        <v/>
      </c>
    </row>
    <row r="23">
      <c r="A23" s="18">
        <f>IF('الوصفة'!$A24="","",'الوصفة'!$A24)</f>
        <v/>
      </c>
      <c r="B23" s="13" t="n">
        <v>30</v>
      </c>
      <c r="C23" s="20">
        <f>IF($A23="","",'الوصفة'!$C24)</f>
        <v/>
      </c>
      <c r="D23" s="20">
        <f>IF(OR($A23="",$B23=""),"",$B23*$C23)</f>
        <v/>
      </c>
      <c r="E23" s="20">
        <f>IF(OR($A23="",$B23=""),"",$B23*SUMPRODUCT('الوصفة'!$E24:$AR24,'الوصفة'!$E$3:$AR$3,'الوصفة'!$E$5:$AR$5))</f>
        <v/>
      </c>
      <c r="F23" s="20">
        <f>IF(OR($A23="",$B23="",$B23=0),"",($D23+$E23)/$B23)</f>
        <v/>
      </c>
      <c r="G23" s="19">
        <f>IF($F23="","",IFERROR($F23/'الوصفة'!$B24,""))</f>
        <v/>
      </c>
      <c r="I23" s="18">
        <f>IF(INDEX('الأصناف'!$A$3:$A$42,18)="","",INDEX('الأصناف'!$A$3:$A$42,18))</f>
        <v/>
      </c>
      <c r="J23" s="18">
        <f>IF($I23="","",INDEX('الأصناف'!$B$3:$B$42,18))</f>
        <v/>
      </c>
      <c r="K23" s="18">
        <f>IF($I23="","",INDEX('الأصناف'!$F$3:$F$42,18))</f>
        <v/>
      </c>
      <c r="L23" s="24">
        <f>IF($I23="","",SUMPRODUCT('الوصفة'!$V$7:$V$66,$B$6:$B$65))</f>
        <v/>
      </c>
      <c r="M23" s="20">
        <f>IF($I23="","",IFERROR($L23/INDEX('الأصناف'!$E$3:$E$42,18),""))</f>
        <v/>
      </c>
      <c r="N23" s="25" t="n">
        <v>41.44</v>
      </c>
      <c r="O23" s="24">
        <f>IF(OR($I23="",$N23=""),"",$N23*INDEX('الأصناف'!$E$3:$E$42,18)-$L23)</f>
        <v/>
      </c>
      <c r="P23" s="19">
        <f>IF(OR($O23="",$L23=0),"",$O23/$L23)</f>
        <v/>
      </c>
      <c r="Q23" s="20">
        <f>IF($O23="","",MAX(0,$O23)*INDEX('الأصناف'!$G$3:$G$42,18))</f>
        <v/>
      </c>
    </row>
    <row r="24">
      <c r="A24" s="18">
        <f>IF('الوصفة'!$A25="","",'الوصفة'!$A25)</f>
        <v/>
      </c>
      <c r="B24" s="13" t="n">
        <v>25</v>
      </c>
      <c r="C24" s="20">
        <f>IF($A24="","",'الوصفة'!$C25)</f>
        <v/>
      </c>
      <c r="D24" s="20">
        <f>IF(OR($A24="",$B24=""),"",$B24*$C24)</f>
        <v/>
      </c>
      <c r="E24" s="20">
        <f>IF(OR($A24="",$B24=""),"",$B24*SUMPRODUCT('الوصفة'!$E25:$AR25,'الوصفة'!$E$3:$AR$3,'الوصفة'!$E$5:$AR$5))</f>
        <v/>
      </c>
      <c r="F24" s="20">
        <f>IF(OR($A24="",$B24="",$B24=0),"",($D24+$E24)/$B24)</f>
        <v/>
      </c>
      <c r="G24" s="19">
        <f>IF($F24="","",IFERROR($F24/'الوصفة'!$B25,""))</f>
        <v/>
      </c>
      <c r="I24" s="18">
        <f>IF(INDEX('الأصناف'!$A$3:$A$42,19)="","",INDEX('الأصناف'!$A$3:$A$42,19))</f>
        <v/>
      </c>
      <c r="J24" s="18">
        <f>IF($I24="","",INDEX('الأصناف'!$B$3:$B$42,19))</f>
        <v/>
      </c>
      <c r="K24" s="18">
        <f>IF($I24="","",INDEX('الأصناف'!$F$3:$F$42,19))</f>
        <v/>
      </c>
      <c r="L24" s="24">
        <f>IF($I24="","",SUMPRODUCT('الوصفة'!$W$7:$W$66,$B$6:$B$65))</f>
        <v/>
      </c>
      <c r="M24" s="20">
        <f>IF($I24="","",IFERROR($L24/INDEX('الأصناف'!$E$3:$E$42,19),""))</f>
        <v/>
      </c>
      <c r="N24" s="25" t="n">
        <v>28.01</v>
      </c>
      <c r="O24" s="24">
        <f>IF(OR($I24="",$N24=""),"",$N24*INDEX('الأصناف'!$E$3:$E$42,19)-$L24)</f>
        <v/>
      </c>
      <c r="P24" s="19">
        <f>IF(OR($O24="",$L24=0),"",$O24/$L24)</f>
        <v/>
      </c>
      <c r="Q24" s="20">
        <f>IF($O24="","",MAX(0,$O24)*INDEX('الأصناف'!$G$3:$G$42,19))</f>
        <v/>
      </c>
    </row>
    <row r="25">
      <c r="A25" s="18">
        <f>IF('الوصفة'!$A26="","",'الوصفة'!$A26)</f>
        <v/>
      </c>
      <c r="B25" s="13" t="n">
        <v>12</v>
      </c>
      <c r="C25" s="20">
        <f>IF($A25="","",'الوصفة'!$C26)</f>
        <v/>
      </c>
      <c r="D25" s="20">
        <f>IF(OR($A25="",$B25=""),"",$B25*$C25)</f>
        <v/>
      </c>
      <c r="E25" s="20">
        <f>IF(OR($A25="",$B25=""),"",$B25*SUMPRODUCT('الوصفة'!$E26:$AR26,'الوصفة'!$E$3:$AR$3,'الوصفة'!$E$5:$AR$5))</f>
        <v/>
      </c>
      <c r="F25" s="20">
        <f>IF(OR($A25="",$B25="",$B25=0),"",($D25+$E25)/$B25)</f>
        <v/>
      </c>
      <c r="G25" s="19">
        <f>IF($F25="","",IFERROR($F25/'الوصفة'!$B26,""))</f>
        <v/>
      </c>
      <c r="I25" s="18">
        <f>IF(INDEX('الأصناف'!$A$3:$A$42,20)="","",INDEX('الأصناف'!$A$3:$A$42,20))</f>
        <v/>
      </c>
      <c r="J25" s="18">
        <f>IF($I25="","",INDEX('الأصناف'!$B$3:$B$42,20))</f>
        <v/>
      </c>
      <c r="K25" s="18">
        <f>IF($I25="","",INDEX('الأصناف'!$F$3:$F$42,20))</f>
        <v/>
      </c>
      <c r="L25" s="24">
        <f>IF($I25="","",SUMPRODUCT('الوصفة'!$X$7:$X$66,$B$6:$B$65))</f>
        <v/>
      </c>
      <c r="M25" s="20">
        <f>IF($I25="","",IFERROR($L25/INDEX('الأصناف'!$E$3:$E$42,20),""))</f>
        <v/>
      </c>
      <c r="N25" s="25" t="n">
        <v>18.97</v>
      </c>
      <c r="O25" s="24">
        <f>IF(OR($I25="",$N25=""),"",$N25*INDEX('الأصناف'!$E$3:$E$42,20)-$L25)</f>
        <v/>
      </c>
      <c r="P25" s="19">
        <f>IF(OR($O25="",$L25=0),"",$O25/$L25)</f>
        <v/>
      </c>
      <c r="Q25" s="20">
        <f>IF($O25="","",MAX(0,$O25)*INDEX('الأصناف'!$G$3:$G$42,20))</f>
        <v/>
      </c>
    </row>
    <row r="26">
      <c r="A26" s="18">
        <f>IF('الوصفة'!$A27="","",'الوصفة'!$A27)</f>
        <v/>
      </c>
      <c r="B26" s="13" t="n"/>
      <c r="C26" s="20">
        <f>IF($A26="","",'الوصفة'!$C27)</f>
        <v/>
      </c>
      <c r="D26" s="20">
        <f>IF(OR($A26="",$B26=""),"",$B26*$C26)</f>
        <v/>
      </c>
      <c r="E26" s="20">
        <f>IF(OR($A26="",$B26=""),"",$B26*SUMPRODUCT('الوصفة'!$E27:$AR27,'الوصفة'!$E$3:$AR$3,'الوصفة'!$E$5:$AR$5))</f>
        <v/>
      </c>
      <c r="F26" s="20">
        <f>IF(OR($A26="",$B26="",$B26=0),"",($D26+$E26)/$B26)</f>
        <v/>
      </c>
      <c r="G26" s="19">
        <f>IF($F26="","",IFERROR($F26/'الوصفة'!$B27,""))</f>
        <v/>
      </c>
      <c r="I26" s="18">
        <f>IF(INDEX('الأصناف'!$A$3:$A$42,21)="","",INDEX('الأصناف'!$A$3:$A$42,21))</f>
        <v/>
      </c>
      <c r="J26" s="18">
        <f>IF($I26="","",INDEX('الأصناف'!$B$3:$B$42,21))</f>
        <v/>
      </c>
      <c r="K26" s="18">
        <f>IF($I26="","",INDEX('الأصناف'!$F$3:$F$42,21))</f>
        <v/>
      </c>
      <c r="L26" s="24">
        <f>IF($I26="","",SUMPRODUCT('الوصفة'!$Y$7:$Y$66,$B$6:$B$65))</f>
        <v/>
      </c>
      <c r="M26" s="20">
        <f>IF($I26="","",IFERROR($L26/INDEX('الأصناف'!$E$3:$E$42,21),""))</f>
        <v/>
      </c>
      <c r="N26" s="25" t="n">
        <v>22.61</v>
      </c>
      <c r="O26" s="24">
        <f>IF(OR($I26="",$N26=""),"",$N26*INDEX('الأصناف'!$E$3:$E$42,21)-$L26)</f>
        <v/>
      </c>
      <c r="P26" s="19">
        <f>IF(OR($O26="",$L26=0),"",$O26/$L26)</f>
        <v/>
      </c>
      <c r="Q26" s="20">
        <f>IF($O26="","",MAX(0,$O26)*INDEX('الأصناف'!$G$3:$G$42,21))</f>
        <v/>
      </c>
    </row>
    <row r="27">
      <c r="A27" s="18">
        <f>IF('الوصفة'!$A28="","",'الوصفة'!$A28)</f>
        <v/>
      </c>
      <c r="B27" s="13" t="n"/>
      <c r="C27" s="20">
        <f>IF($A27="","",'الوصفة'!$C28)</f>
        <v/>
      </c>
      <c r="D27" s="20">
        <f>IF(OR($A27="",$B27=""),"",$B27*$C27)</f>
        <v/>
      </c>
      <c r="E27" s="20">
        <f>IF(OR($A27="",$B27=""),"",$B27*SUMPRODUCT('الوصفة'!$E28:$AR28,'الوصفة'!$E$3:$AR$3,'الوصفة'!$E$5:$AR$5))</f>
        <v/>
      </c>
      <c r="F27" s="20">
        <f>IF(OR($A27="",$B27="",$B27=0),"",($D27+$E27)/$B27)</f>
        <v/>
      </c>
      <c r="G27" s="19">
        <f>IF($F27="","",IFERROR($F27/'الوصفة'!$B28,""))</f>
        <v/>
      </c>
      <c r="I27" s="18">
        <f>IF(INDEX('الأصناف'!$A$3:$A$42,22)="","",INDEX('الأصناف'!$A$3:$A$42,22))</f>
        <v/>
      </c>
      <c r="J27" s="18">
        <f>IF($I27="","",INDEX('الأصناف'!$B$3:$B$42,22))</f>
        <v/>
      </c>
      <c r="K27" s="18">
        <f>IF($I27="","",INDEX('الأصناف'!$F$3:$F$42,22))</f>
        <v/>
      </c>
      <c r="L27" s="24">
        <f>IF($I27="","",SUMPRODUCT('الوصفة'!$Z$7:$Z$66,$B$6:$B$65))</f>
        <v/>
      </c>
      <c r="M27" s="20">
        <f>IF($I27="","",IFERROR($L27/INDEX('الأصناف'!$E$3:$E$42,22),""))</f>
        <v/>
      </c>
      <c r="N27" s="25" t="n">
        <v>6.17</v>
      </c>
      <c r="O27" s="24">
        <f>IF(OR($I27="",$N27=""),"",$N27*INDEX('الأصناف'!$E$3:$E$42,22)-$L27)</f>
        <v/>
      </c>
      <c r="P27" s="19">
        <f>IF(OR($O27="",$L27=0),"",$O27/$L27)</f>
        <v/>
      </c>
      <c r="Q27" s="20">
        <f>IF($O27="","",MAX(0,$O27)*INDEX('الأصناف'!$G$3:$G$42,22))</f>
        <v/>
      </c>
    </row>
    <row r="28">
      <c r="A28" s="18">
        <f>IF('الوصفة'!$A29="","",'الوصفة'!$A29)</f>
        <v/>
      </c>
      <c r="B28" s="13" t="n"/>
      <c r="C28" s="20">
        <f>IF($A28="","",'الوصفة'!$C29)</f>
        <v/>
      </c>
      <c r="D28" s="20">
        <f>IF(OR($A28="",$B28=""),"",$B28*$C28)</f>
        <v/>
      </c>
      <c r="E28" s="20">
        <f>IF(OR($A28="",$B28=""),"",$B28*SUMPRODUCT('الوصفة'!$E29:$AR29,'الوصفة'!$E$3:$AR$3,'الوصفة'!$E$5:$AR$5))</f>
        <v/>
      </c>
      <c r="F28" s="20">
        <f>IF(OR($A28="",$B28="",$B28=0),"",($D28+$E28)/$B28)</f>
        <v/>
      </c>
      <c r="G28" s="19">
        <f>IF($F28="","",IFERROR($F28/'الوصفة'!$B29,""))</f>
        <v/>
      </c>
      <c r="I28" s="18">
        <f>IF(INDEX('الأصناف'!$A$3:$A$42,23)="","",INDEX('الأصناف'!$A$3:$A$42,23))</f>
        <v/>
      </c>
      <c r="J28" s="18">
        <f>IF($I28="","",INDEX('الأصناف'!$B$3:$B$42,23))</f>
        <v/>
      </c>
      <c r="K28" s="18">
        <f>IF($I28="","",INDEX('الأصناف'!$F$3:$F$42,23))</f>
        <v/>
      </c>
      <c r="L28" s="24">
        <f>IF($I28="","",SUMPRODUCT('الوصفة'!$AA$7:$AA$66,$B$6:$B$65))</f>
        <v/>
      </c>
      <c r="M28" s="20">
        <f>IF($I28="","",IFERROR($L28/INDEX('الأصناف'!$E$3:$E$42,23),""))</f>
        <v/>
      </c>
      <c r="N28" s="25" t="n">
        <v>21.38</v>
      </c>
      <c r="O28" s="24">
        <f>IF(OR($I28="",$N28=""),"",$N28*INDEX('الأصناف'!$E$3:$E$42,23)-$L28)</f>
        <v/>
      </c>
      <c r="P28" s="19">
        <f>IF(OR($O28="",$L28=0),"",$O28/$L28)</f>
        <v/>
      </c>
      <c r="Q28" s="20">
        <f>IF($O28="","",MAX(0,$O28)*INDEX('الأصناف'!$G$3:$G$42,23))</f>
        <v/>
      </c>
    </row>
    <row r="29">
      <c r="A29" s="18">
        <f>IF('الوصفة'!$A30="","",'الوصفة'!$A30)</f>
        <v/>
      </c>
      <c r="B29" s="13" t="n"/>
      <c r="C29" s="20">
        <f>IF($A29="","",'الوصفة'!$C30)</f>
        <v/>
      </c>
      <c r="D29" s="20">
        <f>IF(OR($A29="",$B29=""),"",$B29*$C29)</f>
        <v/>
      </c>
      <c r="E29" s="20">
        <f>IF(OR($A29="",$B29=""),"",$B29*SUMPRODUCT('الوصفة'!$E30:$AR30,'الوصفة'!$E$3:$AR$3,'الوصفة'!$E$5:$AR$5))</f>
        <v/>
      </c>
      <c r="F29" s="20">
        <f>IF(OR($A29="",$B29="",$B29=0),"",($D29+$E29)/$B29)</f>
        <v/>
      </c>
      <c r="G29" s="19">
        <f>IF($F29="","",IFERROR($F29/'الوصفة'!$B30,""))</f>
        <v/>
      </c>
      <c r="I29" s="18">
        <f>IF(INDEX('الأصناف'!$A$3:$A$42,24)="","",INDEX('الأصناف'!$A$3:$A$42,24))</f>
        <v/>
      </c>
      <c r="J29" s="18">
        <f>IF($I29="","",INDEX('الأصناف'!$B$3:$B$42,24))</f>
        <v/>
      </c>
      <c r="K29" s="18">
        <f>IF($I29="","",INDEX('الأصناف'!$F$3:$F$42,24))</f>
        <v/>
      </c>
      <c r="L29" s="24">
        <f>IF($I29="","",SUMPRODUCT('الوصفة'!$AB$7:$AB$66,$B$6:$B$65))</f>
        <v/>
      </c>
      <c r="M29" s="20">
        <f>IF($I29="","",IFERROR($L29/INDEX('الأصناف'!$E$3:$E$42,24),""))</f>
        <v/>
      </c>
      <c r="N29" s="25" t="n">
        <v>23.18</v>
      </c>
      <c r="O29" s="24">
        <f>IF(OR($I29="",$N29=""),"",$N29*INDEX('الأصناف'!$E$3:$E$42,24)-$L29)</f>
        <v/>
      </c>
      <c r="P29" s="19">
        <f>IF(OR($O29="",$L29=0),"",$O29/$L29)</f>
        <v/>
      </c>
      <c r="Q29" s="20">
        <f>IF($O29="","",MAX(0,$O29)*INDEX('الأصناف'!$G$3:$G$42,24))</f>
        <v/>
      </c>
    </row>
    <row r="30">
      <c r="A30" s="18">
        <f>IF('الوصفة'!$A31="","",'الوصفة'!$A31)</f>
        <v/>
      </c>
      <c r="B30" s="13" t="n"/>
      <c r="C30" s="20">
        <f>IF($A30="","",'الوصفة'!$C31)</f>
        <v/>
      </c>
      <c r="D30" s="20">
        <f>IF(OR($A30="",$B30=""),"",$B30*$C30)</f>
        <v/>
      </c>
      <c r="E30" s="20">
        <f>IF(OR($A30="",$B30=""),"",$B30*SUMPRODUCT('الوصفة'!$E31:$AR31,'الوصفة'!$E$3:$AR$3,'الوصفة'!$E$5:$AR$5))</f>
        <v/>
      </c>
      <c r="F30" s="20">
        <f>IF(OR($A30="",$B30="",$B30=0),"",($D30+$E30)/$B30)</f>
        <v/>
      </c>
      <c r="G30" s="19">
        <f>IF($F30="","",IFERROR($F30/'الوصفة'!$B31,""))</f>
        <v/>
      </c>
      <c r="I30" s="18">
        <f>IF(INDEX('الأصناف'!$A$3:$A$42,25)="","",INDEX('الأصناف'!$A$3:$A$42,25))</f>
        <v/>
      </c>
      <c r="J30" s="18">
        <f>IF($I30="","",INDEX('الأصناف'!$B$3:$B$42,25))</f>
        <v/>
      </c>
      <c r="K30" s="18">
        <f>IF($I30="","",INDEX('الأصناف'!$F$3:$F$42,25))</f>
        <v/>
      </c>
      <c r="L30" s="24">
        <f>IF($I30="","",SUMPRODUCT('الوصفة'!$AC$7:$AC$66,$B$6:$B$65))</f>
        <v/>
      </c>
      <c r="M30" s="20">
        <f>IF($I30="","",IFERROR($L30/INDEX('الأصناف'!$E$3:$E$42,25),""))</f>
        <v/>
      </c>
      <c r="N30" s="25" t="n">
        <v>0.37</v>
      </c>
      <c r="O30" s="24">
        <f>IF(OR($I30="",$N30=""),"",$N30*INDEX('الأصناف'!$E$3:$E$42,25)-$L30)</f>
        <v/>
      </c>
      <c r="P30" s="19">
        <f>IF(OR($O30="",$L30=0),"",$O30/$L30)</f>
        <v/>
      </c>
      <c r="Q30" s="20">
        <f>IF($O30="","",MAX(0,$O30)*INDEX('الأصناف'!$G$3:$G$42,25))</f>
        <v/>
      </c>
    </row>
    <row r="31">
      <c r="A31" s="18">
        <f>IF('الوصفة'!$A32="","",'الوصفة'!$A32)</f>
        <v/>
      </c>
      <c r="B31" s="13" t="n"/>
      <c r="C31" s="20">
        <f>IF($A31="","",'الوصفة'!$C32)</f>
        <v/>
      </c>
      <c r="D31" s="20">
        <f>IF(OR($A31="",$B31=""),"",$B31*$C31)</f>
        <v/>
      </c>
      <c r="E31" s="20">
        <f>IF(OR($A31="",$B31=""),"",$B31*SUMPRODUCT('الوصفة'!$E32:$AR32,'الوصفة'!$E$3:$AR$3,'الوصفة'!$E$5:$AR$5))</f>
        <v/>
      </c>
      <c r="F31" s="20">
        <f>IF(OR($A31="",$B31="",$B31=0),"",($D31+$E31)/$B31)</f>
        <v/>
      </c>
      <c r="G31" s="19">
        <f>IF($F31="","",IFERROR($F31/'الوصفة'!$B32,""))</f>
        <v/>
      </c>
      <c r="I31" s="18">
        <f>IF(INDEX('الأصناف'!$A$3:$A$42,26)="","",INDEX('الأصناف'!$A$3:$A$42,26))</f>
        <v/>
      </c>
      <c r="J31" s="18">
        <f>IF($I31="","",INDEX('الأصناف'!$B$3:$B$42,26))</f>
        <v/>
      </c>
      <c r="K31" s="18">
        <f>IF($I31="","",INDEX('الأصناف'!$F$3:$F$42,26))</f>
        <v/>
      </c>
      <c r="L31" s="24">
        <f>IF($I31="","",SUMPRODUCT('الوصفة'!$AD$7:$AD$66,$B$6:$B$65))</f>
        <v/>
      </c>
      <c r="M31" s="20">
        <f>IF($I31="","",IFERROR($L31/INDEX('الأصناف'!$E$3:$E$42,26),""))</f>
        <v/>
      </c>
      <c r="N31" s="25" t="n">
        <v>6.28</v>
      </c>
      <c r="O31" s="24">
        <f>IF(OR($I31="",$N31=""),"",$N31*INDEX('الأصناف'!$E$3:$E$42,26)-$L31)</f>
        <v/>
      </c>
      <c r="P31" s="19">
        <f>IF(OR($O31="",$L31=0),"",$O31/$L31)</f>
        <v/>
      </c>
      <c r="Q31" s="20">
        <f>IF($O31="","",MAX(0,$O31)*INDEX('الأصناف'!$G$3:$G$42,26))</f>
        <v/>
      </c>
    </row>
    <row r="32">
      <c r="A32" s="18">
        <f>IF('الوصفة'!$A33="","",'الوصفة'!$A33)</f>
        <v/>
      </c>
      <c r="B32" s="13" t="n"/>
      <c r="C32" s="20">
        <f>IF($A32="","",'الوصفة'!$C33)</f>
        <v/>
      </c>
      <c r="D32" s="20">
        <f>IF(OR($A32="",$B32=""),"",$B32*$C32)</f>
        <v/>
      </c>
      <c r="E32" s="20">
        <f>IF(OR($A32="",$B32=""),"",$B32*SUMPRODUCT('الوصفة'!$E33:$AR33,'الوصفة'!$E$3:$AR$3,'الوصفة'!$E$5:$AR$5))</f>
        <v/>
      </c>
      <c r="F32" s="20">
        <f>IF(OR($A32="",$B32="",$B32=0),"",($D32+$E32)/$B32)</f>
        <v/>
      </c>
      <c r="G32" s="19">
        <f>IF($F32="","",IFERROR($F32/'الوصفة'!$B33,""))</f>
        <v/>
      </c>
      <c r="I32" s="18">
        <f>IF(INDEX('الأصناف'!$A$3:$A$42,27)="","",INDEX('الأصناف'!$A$3:$A$42,27))</f>
        <v/>
      </c>
      <c r="J32" s="18">
        <f>IF($I32="","",INDEX('الأصناف'!$B$3:$B$42,27))</f>
        <v/>
      </c>
      <c r="K32" s="18">
        <f>IF($I32="","",INDEX('الأصناف'!$F$3:$F$42,27))</f>
        <v/>
      </c>
      <c r="L32" s="24">
        <f>IF($I32="","",SUMPRODUCT('الوصفة'!$AE$7:$AE$66,$B$6:$B$65))</f>
        <v/>
      </c>
      <c r="M32" s="20">
        <f>IF($I32="","",IFERROR($L32/INDEX('الأصناف'!$E$3:$E$42,27),""))</f>
        <v/>
      </c>
      <c r="N32" s="25" t="n">
        <v>1.69</v>
      </c>
      <c r="O32" s="24">
        <f>IF(OR($I32="",$N32=""),"",$N32*INDEX('الأصناف'!$E$3:$E$42,27)-$L32)</f>
        <v/>
      </c>
      <c r="P32" s="19">
        <f>IF(OR($O32="",$L32=0),"",$O32/$L32)</f>
        <v/>
      </c>
      <c r="Q32" s="20">
        <f>IF($O32="","",MAX(0,$O32)*INDEX('الأصناف'!$G$3:$G$42,27))</f>
        <v/>
      </c>
    </row>
    <row r="33">
      <c r="A33" s="18">
        <f>IF('الوصفة'!$A34="","",'الوصفة'!$A34)</f>
        <v/>
      </c>
      <c r="B33" s="13" t="n"/>
      <c r="C33" s="20">
        <f>IF($A33="","",'الوصفة'!$C34)</f>
        <v/>
      </c>
      <c r="D33" s="20">
        <f>IF(OR($A33="",$B33=""),"",$B33*$C33)</f>
        <v/>
      </c>
      <c r="E33" s="20">
        <f>IF(OR($A33="",$B33=""),"",$B33*SUMPRODUCT('الوصفة'!$E34:$AR34,'الوصفة'!$E$3:$AR$3,'الوصفة'!$E$5:$AR$5))</f>
        <v/>
      </c>
      <c r="F33" s="20">
        <f>IF(OR($A33="",$B33="",$B33=0),"",($D33+$E33)/$B33)</f>
        <v/>
      </c>
      <c r="G33" s="19">
        <f>IF($F33="","",IFERROR($F33/'الوصفة'!$B34,""))</f>
        <v/>
      </c>
      <c r="I33" s="18">
        <f>IF(INDEX('الأصناف'!$A$3:$A$42,28)="","",INDEX('الأصناف'!$A$3:$A$42,28))</f>
        <v/>
      </c>
      <c r="J33" s="18">
        <f>IF($I33="","",INDEX('الأصناف'!$B$3:$B$42,28))</f>
        <v/>
      </c>
      <c r="K33" s="18">
        <f>IF($I33="","",INDEX('الأصناف'!$F$3:$F$42,28))</f>
        <v/>
      </c>
      <c r="L33" s="24">
        <f>IF($I33="","",SUMPRODUCT('الوصفة'!$AF$7:$AF$66,$B$6:$B$65))</f>
        <v/>
      </c>
      <c r="M33" s="20">
        <f>IF($I33="","",IFERROR($L33/INDEX('الأصناف'!$E$3:$E$42,28),""))</f>
        <v/>
      </c>
      <c r="N33" s="25" t="n">
        <v>1.17</v>
      </c>
      <c r="O33" s="24">
        <f>IF(OR($I33="",$N33=""),"",$N33*INDEX('الأصناف'!$E$3:$E$42,28)-$L33)</f>
        <v/>
      </c>
      <c r="P33" s="19">
        <f>IF(OR($O33="",$L33=0),"",$O33/$L33)</f>
        <v/>
      </c>
      <c r="Q33" s="20">
        <f>IF($O33="","",MAX(0,$O33)*INDEX('الأصناف'!$G$3:$G$42,28))</f>
        <v/>
      </c>
    </row>
    <row r="34">
      <c r="A34" s="18">
        <f>IF('الوصفة'!$A35="","",'الوصفة'!$A35)</f>
        <v/>
      </c>
      <c r="B34" s="13" t="n"/>
      <c r="C34" s="20">
        <f>IF($A34="","",'الوصفة'!$C35)</f>
        <v/>
      </c>
      <c r="D34" s="20">
        <f>IF(OR($A34="",$B34=""),"",$B34*$C34)</f>
        <v/>
      </c>
      <c r="E34" s="20">
        <f>IF(OR($A34="",$B34=""),"",$B34*SUMPRODUCT('الوصفة'!$E35:$AR35,'الوصفة'!$E$3:$AR$3,'الوصفة'!$E$5:$AR$5))</f>
        <v/>
      </c>
      <c r="F34" s="20">
        <f>IF(OR($A34="",$B34="",$B34=0),"",($D34+$E34)/$B34)</f>
        <v/>
      </c>
      <c r="G34" s="19">
        <f>IF($F34="","",IFERROR($F34/'الوصفة'!$B35,""))</f>
        <v/>
      </c>
      <c r="I34" s="18">
        <f>IF(INDEX('الأصناف'!$A$3:$A$42,29)="","",INDEX('الأصناف'!$A$3:$A$42,29))</f>
        <v/>
      </c>
      <c r="J34" s="18">
        <f>IF($I34="","",INDEX('الأصناف'!$B$3:$B$42,29))</f>
        <v/>
      </c>
      <c r="K34" s="18">
        <f>IF($I34="","",INDEX('الأصناف'!$F$3:$F$42,29))</f>
        <v/>
      </c>
      <c r="L34" s="24">
        <f>IF($I34="","",SUMPRODUCT('الوصفة'!$AG$7:$AG$66,$B$6:$B$65))</f>
        <v/>
      </c>
      <c r="M34" s="20">
        <f>IF($I34="","",IFERROR($L34/INDEX('الأصناف'!$E$3:$E$42,29),""))</f>
        <v/>
      </c>
      <c r="N34" s="25" t="n">
        <v>27.36</v>
      </c>
      <c r="O34" s="24">
        <f>IF(OR($I34="",$N34=""),"",$N34*INDEX('الأصناف'!$E$3:$E$42,29)-$L34)</f>
        <v/>
      </c>
      <c r="P34" s="19">
        <f>IF(OR($O34="",$L34=0),"",$O34/$L34)</f>
        <v/>
      </c>
      <c r="Q34" s="20">
        <f>IF($O34="","",MAX(0,$O34)*INDEX('الأصناف'!$G$3:$G$42,29))</f>
        <v/>
      </c>
    </row>
    <row r="35">
      <c r="A35" s="18">
        <f>IF('الوصفة'!$A36="","",'الوصفة'!$A36)</f>
        <v/>
      </c>
      <c r="B35" s="13" t="n"/>
      <c r="C35" s="20">
        <f>IF($A35="","",'الوصفة'!$C36)</f>
        <v/>
      </c>
      <c r="D35" s="20">
        <f>IF(OR($A35="",$B35=""),"",$B35*$C35)</f>
        <v/>
      </c>
      <c r="E35" s="20">
        <f>IF(OR($A35="",$B35=""),"",$B35*SUMPRODUCT('الوصفة'!$E36:$AR36,'الوصفة'!$E$3:$AR$3,'الوصفة'!$E$5:$AR$5))</f>
        <v/>
      </c>
      <c r="F35" s="20">
        <f>IF(OR($A35="",$B35="",$B35=0),"",($D35+$E35)/$B35)</f>
        <v/>
      </c>
      <c r="G35" s="19">
        <f>IF($F35="","",IFERROR($F35/'الوصفة'!$B36,""))</f>
        <v/>
      </c>
      <c r="I35" s="18">
        <f>IF(INDEX('الأصناف'!$A$3:$A$42,30)="","",INDEX('الأصناف'!$A$3:$A$42,30))</f>
        <v/>
      </c>
      <c r="J35" s="18">
        <f>IF($I35="","",INDEX('الأصناف'!$B$3:$B$42,30))</f>
        <v/>
      </c>
      <c r="K35" s="18">
        <f>IF($I35="","",INDEX('الأصناف'!$F$3:$F$42,30))</f>
        <v/>
      </c>
      <c r="L35" s="24">
        <f>IF($I35="","",SUMPRODUCT('الوصفة'!$AH$7:$AH$66,$B$6:$B$65))</f>
        <v/>
      </c>
      <c r="M35" s="20">
        <f>IF($I35="","",IFERROR($L35/INDEX('الأصناف'!$E$3:$E$42,30),""))</f>
        <v/>
      </c>
      <c r="N35" s="25" t="n">
        <v>2.72</v>
      </c>
      <c r="O35" s="24">
        <f>IF(OR($I35="",$N35=""),"",$N35*INDEX('الأصناف'!$E$3:$E$42,30)-$L35)</f>
        <v/>
      </c>
      <c r="P35" s="19">
        <f>IF(OR($O35="",$L35=0),"",$O35/$L35)</f>
        <v/>
      </c>
      <c r="Q35" s="20">
        <f>IF($O35="","",MAX(0,$O35)*INDEX('الأصناف'!$G$3:$G$42,30))</f>
        <v/>
      </c>
    </row>
    <row r="36">
      <c r="A36" s="18">
        <f>IF('الوصفة'!$A37="","",'الوصفة'!$A37)</f>
        <v/>
      </c>
      <c r="B36" s="13" t="n"/>
      <c r="C36" s="20">
        <f>IF($A36="","",'الوصفة'!$C37)</f>
        <v/>
      </c>
      <c r="D36" s="20">
        <f>IF(OR($A36="",$B36=""),"",$B36*$C36)</f>
        <v/>
      </c>
      <c r="E36" s="20">
        <f>IF(OR($A36="",$B36=""),"",$B36*SUMPRODUCT('الوصفة'!$E37:$AR37,'الوصفة'!$E$3:$AR$3,'الوصفة'!$E$5:$AR$5))</f>
        <v/>
      </c>
      <c r="F36" s="20">
        <f>IF(OR($A36="",$B36="",$B36=0),"",($D36+$E36)/$B36)</f>
        <v/>
      </c>
      <c r="G36" s="19">
        <f>IF($F36="","",IFERROR($F36/'الوصفة'!$B37,""))</f>
        <v/>
      </c>
      <c r="I36" s="18">
        <f>IF(INDEX('الأصناف'!$A$3:$A$42,31)="","",INDEX('الأصناف'!$A$3:$A$42,31))</f>
        <v/>
      </c>
      <c r="J36" s="18">
        <f>IF($I36="","",INDEX('الأصناف'!$B$3:$B$42,31))</f>
        <v/>
      </c>
      <c r="K36" s="18">
        <f>IF($I36="","",INDEX('الأصناف'!$F$3:$F$42,31))</f>
        <v/>
      </c>
      <c r="L36" s="24">
        <f>IF($I36="","",SUMPRODUCT('الوصفة'!$AI$7:$AI$66,$B$6:$B$65))</f>
        <v/>
      </c>
      <c r="M36" s="20">
        <f>IF($I36="","",IFERROR($L36/INDEX('الأصناف'!$E$3:$E$42,31),""))</f>
        <v/>
      </c>
      <c r="N36" s="25" t="n"/>
      <c r="O36" s="24">
        <f>IF(OR($I36="",$N36=""),"",$N36*INDEX('الأصناف'!$E$3:$E$42,31)-$L36)</f>
        <v/>
      </c>
      <c r="P36" s="19">
        <f>IF(OR($O36="",$L36=0),"",$O36/$L36)</f>
        <v/>
      </c>
      <c r="Q36" s="20">
        <f>IF($O36="","",MAX(0,$O36)*INDEX('الأصناف'!$G$3:$G$42,31))</f>
        <v/>
      </c>
    </row>
    <row r="37">
      <c r="A37" s="18">
        <f>IF('الوصفة'!$A38="","",'الوصفة'!$A38)</f>
        <v/>
      </c>
      <c r="B37" s="13" t="n"/>
      <c r="C37" s="20">
        <f>IF($A37="","",'الوصفة'!$C38)</f>
        <v/>
      </c>
      <c r="D37" s="20">
        <f>IF(OR($A37="",$B37=""),"",$B37*$C37)</f>
        <v/>
      </c>
      <c r="E37" s="20">
        <f>IF(OR($A37="",$B37=""),"",$B37*SUMPRODUCT('الوصفة'!$E38:$AR38,'الوصفة'!$E$3:$AR$3,'الوصفة'!$E$5:$AR$5))</f>
        <v/>
      </c>
      <c r="F37" s="20">
        <f>IF(OR($A37="",$B37="",$B37=0),"",($D37+$E37)/$B37)</f>
        <v/>
      </c>
      <c r="G37" s="19">
        <f>IF($F37="","",IFERROR($F37/'الوصفة'!$B38,""))</f>
        <v/>
      </c>
      <c r="I37" s="18">
        <f>IF(INDEX('الأصناف'!$A$3:$A$42,32)="","",INDEX('الأصناف'!$A$3:$A$42,32))</f>
        <v/>
      </c>
      <c r="J37" s="18">
        <f>IF($I37="","",INDEX('الأصناف'!$B$3:$B$42,32))</f>
        <v/>
      </c>
      <c r="K37" s="18">
        <f>IF($I37="","",INDEX('الأصناف'!$F$3:$F$42,32))</f>
        <v/>
      </c>
      <c r="L37" s="24">
        <f>IF($I37="","",SUMPRODUCT('الوصفة'!$AJ$7:$AJ$66,$B$6:$B$65))</f>
        <v/>
      </c>
      <c r="M37" s="20">
        <f>IF($I37="","",IFERROR($L37/INDEX('الأصناف'!$E$3:$E$42,32),""))</f>
        <v/>
      </c>
      <c r="N37" s="25" t="n"/>
      <c r="O37" s="24">
        <f>IF(OR($I37="",$N37=""),"",$N37*INDEX('الأصناف'!$E$3:$E$42,32)-$L37)</f>
        <v/>
      </c>
      <c r="P37" s="19">
        <f>IF(OR($O37="",$L37=0),"",$O37/$L37)</f>
        <v/>
      </c>
      <c r="Q37" s="20">
        <f>IF($O37="","",MAX(0,$O37)*INDEX('الأصناف'!$G$3:$G$42,32))</f>
        <v/>
      </c>
    </row>
    <row r="38">
      <c r="A38" s="18">
        <f>IF('الوصفة'!$A39="","",'الوصفة'!$A39)</f>
        <v/>
      </c>
      <c r="B38" s="13" t="n"/>
      <c r="C38" s="20">
        <f>IF($A38="","",'الوصفة'!$C39)</f>
        <v/>
      </c>
      <c r="D38" s="20">
        <f>IF(OR($A38="",$B38=""),"",$B38*$C38)</f>
        <v/>
      </c>
      <c r="E38" s="20">
        <f>IF(OR($A38="",$B38=""),"",$B38*SUMPRODUCT('الوصفة'!$E39:$AR39,'الوصفة'!$E$3:$AR$3,'الوصفة'!$E$5:$AR$5))</f>
        <v/>
      </c>
      <c r="F38" s="20">
        <f>IF(OR($A38="",$B38="",$B38=0),"",($D38+$E38)/$B38)</f>
        <v/>
      </c>
      <c r="G38" s="19">
        <f>IF($F38="","",IFERROR($F38/'الوصفة'!$B39,""))</f>
        <v/>
      </c>
      <c r="I38" s="18">
        <f>IF(INDEX('الأصناف'!$A$3:$A$42,33)="","",INDEX('الأصناف'!$A$3:$A$42,33))</f>
        <v/>
      </c>
      <c r="J38" s="18">
        <f>IF($I38="","",INDEX('الأصناف'!$B$3:$B$42,33))</f>
        <v/>
      </c>
      <c r="K38" s="18">
        <f>IF($I38="","",INDEX('الأصناف'!$F$3:$F$42,33))</f>
        <v/>
      </c>
      <c r="L38" s="24">
        <f>IF($I38="","",SUMPRODUCT('الوصفة'!$AK$7:$AK$66,$B$6:$B$65))</f>
        <v/>
      </c>
      <c r="M38" s="20">
        <f>IF($I38="","",IFERROR($L38/INDEX('الأصناف'!$E$3:$E$42,33),""))</f>
        <v/>
      </c>
      <c r="N38" s="25" t="n"/>
      <c r="O38" s="24">
        <f>IF(OR($I38="",$N38=""),"",$N38*INDEX('الأصناف'!$E$3:$E$42,33)-$L38)</f>
        <v/>
      </c>
      <c r="P38" s="19">
        <f>IF(OR($O38="",$L38=0),"",$O38/$L38)</f>
        <v/>
      </c>
      <c r="Q38" s="20">
        <f>IF($O38="","",MAX(0,$O38)*INDEX('الأصناف'!$G$3:$G$42,33))</f>
        <v/>
      </c>
    </row>
    <row r="39">
      <c r="A39" s="18">
        <f>IF('الوصفة'!$A40="","",'الوصفة'!$A40)</f>
        <v/>
      </c>
      <c r="B39" s="13" t="n"/>
      <c r="C39" s="20">
        <f>IF($A39="","",'الوصفة'!$C40)</f>
        <v/>
      </c>
      <c r="D39" s="20">
        <f>IF(OR($A39="",$B39=""),"",$B39*$C39)</f>
        <v/>
      </c>
      <c r="E39" s="20">
        <f>IF(OR($A39="",$B39=""),"",$B39*SUMPRODUCT('الوصفة'!$E40:$AR40,'الوصفة'!$E$3:$AR$3,'الوصفة'!$E$5:$AR$5))</f>
        <v/>
      </c>
      <c r="F39" s="20">
        <f>IF(OR($A39="",$B39="",$B39=0),"",($D39+$E39)/$B39)</f>
        <v/>
      </c>
      <c r="G39" s="19">
        <f>IF($F39="","",IFERROR($F39/'الوصفة'!$B40,""))</f>
        <v/>
      </c>
      <c r="I39" s="18">
        <f>IF(INDEX('الأصناف'!$A$3:$A$42,34)="","",INDEX('الأصناف'!$A$3:$A$42,34))</f>
        <v/>
      </c>
      <c r="J39" s="18">
        <f>IF($I39="","",INDEX('الأصناف'!$B$3:$B$42,34))</f>
        <v/>
      </c>
      <c r="K39" s="18">
        <f>IF($I39="","",INDEX('الأصناف'!$F$3:$F$42,34))</f>
        <v/>
      </c>
      <c r="L39" s="24">
        <f>IF($I39="","",SUMPRODUCT('الوصفة'!$AL$7:$AL$66,$B$6:$B$65))</f>
        <v/>
      </c>
      <c r="M39" s="20">
        <f>IF($I39="","",IFERROR($L39/INDEX('الأصناف'!$E$3:$E$42,34),""))</f>
        <v/>
      </c>
      <c r="N39" s="25" t="n"/>
      <c r="O39" s="24">
        <f>IF(OR($I39="",$N39=""),"",$N39*INDEX('الأصناف'!$E$3:$E$42,34)-$L39)</f>
        <v/>
      </c>
      <c r="P39" s="19">
        <f>IF(OR($O39="",$L39=0),"",$O39/$L39)</f>
        <v/>
      </c>
      <c r="Q39" s="20">
        <f>IF($O39="","",MAX(0,$O39)*INDEX('الأصناف'!$G$3:$G$42,34))</f>
        <v/>
      </c>
    </row>
    <row r="40">
      <c r="A40" s="18">
        <f>IF('الوصفة'!$A41="","",'الوصفة'!$A41)</f>
        <v/>
      </c>
      <c r="B40" s="13" t="n"/>
      <c r="C40" s="20">
        <f>IF($A40="","",'الوصفة'!$C41)</f>
        <v/>
      </c>
      <c r="D40" s="20">
        <f>IF(OR($A40="",$B40=""),"",$B40*$C40)</f>
        <v/>
      </c>
      <c r="E40" s="20">
        <f>IF(OR($A40="",$B40=""),"",$B40*SUMPRODUCT('الوصفة'!$E41:$AR41,'الوصفة'!$E$3:$AR$3,'الوصفة'!$E$5:$AR$5))</f>
        <v/>
      </c>
      <c r="F40" s="20">
        <f>IF(OR($A40="",$B40="",$B40=0),"",($D40+$E40)/$B40)</f>
        <v/>
      </c>
      <c r="G40" s="19">
        <f>IF($F40="","",IFERROR($F40/'الوصفة'!$B41,""))</f>
        <v/>
      </c>
      <c r="I40" s="18">
        <f>IF(INDEX('الأصناف'!$A$3:$A$42,35)="","",INDEX('الأصناف'!$A$3:$A$42,35))</f>
        <v/>
      </c>
      <c r="J40" s="18">
        <f>IF($I40="","",INDEX('الأصناف'!$B$3:$B$42,35))</f>
        <v/>
      </c>
      <c r="K40" s="18">
        <f>IF($I40="","",INDEX('الأصناف'!$F$3:$F$42,35))</f>
        <v/>
      </c>
      <c r="L40" s="24">
        <f>IF($I40="","",SUMPRODUCT('الوصفة'!$AM$7:$AM$66,$B$6:$B$65))</f>
        <v/>
      </c>
      <c r="M40" s="20">
        <f>IF($I40="","",IFERROR($L40/INDEX('الأصناف'!$E$3:$E$42,35),""))</f>
        <v/>
      </c>
      <c r="N40" s="25" t="n"/>
      <c r="O40" s="24">
        <f>IF(OR($I40="",$N40=""),"",$N40*INDEX('الأصناف'!$E$3:$E$42,35)-$L40)</f>
        <v/>
      </c>
      <c r="P40" s="19">
        <f>IF(OR($O40="",$L40=0),"",$O40/$L40)</f>
        <v/>
      </c>
      <c r="Q40" s="20">
        <f>IF($O40="","",MAX(0,$O40)*INDEX('الأصناف'!$G$3:$G$42,35))</f>
        <v/>
      </c>
    </row>
    <row r="41">
      <c r="A41" s="18">
        <f>IF('الوصفة'!$A42="","",'الوصفة'!$A42)</f>
        <v/>
      </c>
      <c r="B41" s="13" t="n"/>
      <c r="C41" s="20">
        <f>IF($A41="","",'الوصفة'!$C42)</f>
        <v/>
      </c>
      <c r="D41" s="20">
        <f>IF(OR($A41="",$B41=""),"",$B41*$C41)</f>
        <v/>
      </c>
      <c r="E41" s="20">
        <f>IF(OR($A41="",$B41=""),"",$B41*SUMPRODUCT('الوصفة'!$E42:$AR42,'الوصفة'!$E$3:$AR$3,'الوصفة'!$E$5:$AR$5))</f>
        <v/>
      </c>
      <c r="F41" s="20">
        <f>IF(OR($A41="",$B41="",$B41=0),"",($D41+$E41)/$B41)</f>
        <v/>
      </c>
      <c r="G41" s="19">
        <f>IF($F41="","",IFERROR($F41/'الوصفة'!$B42,""))</f>
        <v/>
      </c>
      <c r="I41" s="18">
        <f>IF(INDEX('الأصناف'!$A$3:$A$42,36)="","",INDEX('الأصناف'!$A$3:$A$42,36))</f>
        <v/>
      </c>
      <c r="J41" s="18">
        <f>IF($I41="","",INDEX('الأصناف'!$B$3:$B$42,36))</f>
        <v/>
      </c>
      <c r="K41" s="18">
        <f>IF($I41="","",INDEX('الأصناف'!$F$3:$F$42,36))</f>
        <v/>
      </c>
      <c r="L41" s="24">
        <f>IF($I41="","",SUMPRODUCT('الوصفة'!$AN$7:$AN$66,$B$6:$B$65))</f>
        <v/>
      </c>
      <c r="M41" s="20">
        <f>IF($I41="","",IFERROR($L41/INDEX('الأصناف'!$E$3:$E$42,36),""))</f>
        <v/>
      </c>
      <c r="N41" s="25" t="n"/>
      <c r="O41" s="24">
        <f>IF(OR($I41="",$N41=""),"",$N41*INDEX('الأصناف'!$E$3:$E$42,36)-$L41)</f>
        <v/>
      </c>
      <c r="P41" s="19">
        <f>IF(OR($O41="",$L41=0),"",$O41/$L41)</f>
        <v/>
      </c>
      <c r="Q41" s="20">
        <f>IF($O41="","",MAX(0,$O41)*INDEX('الأصناف'!$G$3:$G$42,36))</f>
        <v/>
      </c>
    </row>
    <row r="42">
      <c r="A42" s="18">
        <f>IF('الوصفة'!$A43="","",'الوصفة'!$A43)</f>
        <v/>
      </c>
      <c r="B42" s="13" t="n"/>
      <c r="C42" s="20">
        <f>IF($A42="","",'الوصفة'!$C43)</f>
        <v/>
      </c>
      <c r="D42" s="20">
        <f>IF(OR($A42="",$B42=""),"",$B42*$C42)</f>
        <v/>
      </c>
      <c r="E42" s="20">
        <f>IF(OR($A42="",$B42=""),"",$B42*SUMPRODUCT('الوصفة'!$E43:$AR43,'الوصفة'!$E$3:$AR$3,'الوصفة'!$E$5:$AR$5))</f>
        <v/>
      </c>
      <c r="F42" s="20">
        <f>IF(OR($A42="",$B42="",$B42=0),"",($D42+$E42)/$B42)</f>
        <v/>
      </c>
      <c r="G42" s="19">
        <f>IF($F42="","",IFERROR($F42/'الوصفة'!$B43,""))</f>
        <v/>
      </c>
      <c r="I42" s="18">
        <f>IF(INDEX('الأصناف'!$A$3:$A$42,37)="","",INDEX('الأصناف'!$A$3:$A$42,37))</f>
        <v/>
      </c>
      <c r="J42" s="18">
        <f>IF($I42="","",INDEX('الأصناف'!$B$3:$B$42,37))</f>
        <v/>
      </c>
      <c r="K42" s="18">
        <f>IF($I42="","",INDEX('الأصناف'!$F$3:$F$42,37))</f>
        <v/>
      </c>
      <c r="L42" s="24">
        <f>IF($I42="","",SUMPRODUCT('الوصفة'!$AO$7:$AO$66,$B$6:$B$65))</f>
        <v/>
      </c>
      <c r="M42" s="20">
        <f>IF($I42="","",IFERROR($L42/INDEX('الأصناف'!$E$3:$E$42,37),""))</f>
        <v/>
      </c>
      <c r="N42" s="25" t="n"/>
      <c r="O42" s="24">
        <f>IF(OR($I42="",$N42=""),"",$N42*INDEX('الأصناف'!$E$3:$E$42,37)-$L42)</f>
        <v/>
      </c>
      <c r="P42" s="19">
        <f>IF(OR($O42="",$L42=0),"",$O42/$L42)</f>
        <v/>
      </c>
      <c r="Q42" s="20">
        <f>IF($O42="","",MAX(0,$O42)*INDEX('الأصناف'!$G$3:$G$42,37))</f>
        <v/>
      </c>
    </row>
    <row r="43">
      <c r="A43" s="18">
        <f>IF('الوصفة'!$A44="","",'الوصفة'!$A44)</f>
        <v/>
      </c>
      <c r="B43" s="13" t="n"/>
      <c r="C43" s="20">
        <f>IF($A43="","",'الوصفة'!$C44)</f>
        <v/>
      </c>
      <c r="D43" s="20">
        <f>IF(OR($A43="",$B43=""),"",$B43*$C43)</f>
        <v/>
      </c>
      <c r="E43" s="20">
        <f>IF(OR($A43="",$B43=""),"",$B43*SUMPRODUCT('الوصفة'!$E44:$AR44,'الوصفة'!$E$3:$AR$3,'الوصفة'!$E$5:$AR$5))</f>
        <v/>
      </c>
      <c r="F43" s="20">
        <f>IF(OR($A43="",$B43="",$B43=0),"",($D43+$E43)/$B43)</f>
        <v/>
      </c>
      <c r="G43" s="19">
        <f>IF($F43="","",IFERROR($F43/'الوصفة'!$B44,""))</f>
        <v/>
      </c>
      <c r="I43" s="18">
        <f>IF(INDEX('الأصناف'!$A$3:$A$42,38)="","",INDEX('الأصناف'!$A$3:$A$42,38))</f>
        <v/>
      </c>
      <c r="J43" s="18">
        <f>IF($I43="","",INDEX('الأصناف'!$B$3:$B$42,38))</f>
        <v/>
      </c>
      <c r="K43" s="18">
        <f>IF($I43="","",INDEX('الأصناف'!$F$3:$F$42,38))</f>
        <v/>
      </c>
      <c r="L43" s="24">
        <f>IF($I43="","",SUMPRODUCT('الوصفة'!$AP$7:$AP$66,$B$6:$B$65))</f>
        <v/>
      </c>
      <c r="M43" s="20">
        <f>IF($I43="","",IFERROR($L43/INDEX('الأصناف'!$E$3:$E$42,38),""))</f>
        <v/>
      </c>
      <c r="N43" s="25" t="n"/>
      <c r="O43" s="24">
        <f>IF(OR($I43="",$N43=""),"",$N43*INDEX('الأصناف'!$E$3:$E$42,38)-$L43)</f>
        <v/>
      </c>
      <c r="P43" s="19">
        <f>IF(OR($O43="",$L43=0),"",$O43/$L43)</f>
        <v/>
      </c>
      <c r="Q43" s="20">
        <f>IF($O43="","",MAX(0,$O43)*INDEX('الأصناف'!$G$3:$G$42,38))</f>
        <v/>
      </c>
    </row>
    <row r="44">
      <c r="A44" s="18">
        <f>IF('الوصفة'!$A45="","",'الوصفة'!$A45)</f>
        <v/>
      </c>
      <c r="B44" s="13" t="n"/>
      <c r="C44" s="20">
        <f>IF($A44="","",'الوصفة'!$C45)</f>
        <v/>
      </c>
      <c r="D44" s="20">
        <f>IF(OR($A44="",$B44=""),"",$B44*$C44)</f>
        <v/>
      </c>
      <c r="E44" s="20">
        <f>IF(OR($A44="",$B44=""),"",$B44*SUMPRODUCT('الوصفة'!$E45:$AR45,'الوصفة'!$E$3:$AR$3,'الوصفة'!$E$5:$AR$5))</f>
        <v/>
      </c>
      <c r="F44" s="20">
        <f>IF(OR($A44="",$B44="",$B44=0),"",($D44+$E44)/$B44)</f>
        <v/>
      </c>
      <c r="G44" s="19">
        <f>IF($F44="","",IFERROR($F44/'الوصفة'!$B45,""))</f>
        <v/>
      </c>
      <c r="I44" s="18">
        <f>IF(INDEX('الأصناف'!$A$3:$A$42,39)="","",INDEX('الأصناف'!$A$3:$A$42,39))</f>
        <v/>
      </c>
      <c r="J44" s="18">
        <f>IF($I44="","",INDEX('الأصناف'!$B$3:$B$42,39))</f>
        <v/>
      </c>
      <c r="K44" s="18">
        <f>IF($I44="","",INDEX('الأصناف'!$F$3:$F$42,39))</f>
        <v/>
      </c>
      <c r="L44" s="24">
        <f>IF($I44="","",SUMPRODUCT('الوصفة'!$AQ$7:$AQ$66,$B$6:$B$65))</f>
        <v/>
      </c>
      <c r="M44" s="20">
        <f>IF($I44="","",IFERROR($L44/INDEX('الأصناف'!$E$3:$E$42,39),""))</f>
        <v/>
      </c>
      <c r="N44" s="25" t="n"/>
      <c r="O44" s="24">
        <f>IF(OR($I44="",$N44=""),"",$N44*INDEX('الأصناف'!$E$3:$E$42,39)-$L44)</f>
        <v/>
      </c>
      <c r="P44" s="19">
        <f>IF(OR($O44="",$L44=0),"",$O44/$L44)</f>
        <v/>
      </c>
      <c r="Q44" s="20">
        <f>IF($O44="","",MAX(0,$O44)*INDEX('الأصناف'!$G$3:$G$42,39))</f>
        <v/>
      </c>
    </row>
    <row r="45">
      <c r="A45" s="18">
        <f>IF('الوصفة'!$A46="","",'الوصفة'!$A46)</f>
        <v/>
      </c>
      <c r="B45" s="13" t="n"/>
      <c r="C45" s="20">
        <f>IF($A45="","",'الوصفة'!$C46)</f>
        <v/>
      </c>
      <c r="D45" s="20">
        <f>IF(OR($A45="",$B45=""),"",$B45*$C45)</f>
        <v/>
      </c>
      <c r="E45" s="20">
        <f>IF(OR($A45="",$B45=""),"",$B45*SUMPRODUCT('الوصفة'!$E46:$AR46,'الوصفة'!$E$3:$AR$3,'الوصفة'!$E$5:$AR$5))</f>
        <v/>
      </c>
      <c r="F45" s="20">
        <f>IF(OR($A45="",$B45="",$B45=0),"",($D45+$E45)/$B45)</f>
        <v/>
      </c>
      <c r="G45" s="19">
        <f>IF($F45="","",IFERROR($F45/'الوصفة'!$B46,""))</f>
        <v/>
      </c>
      <c r="I45" s="18">
        <f>IF(INDEX('الأصناف'!$A$3:$A$42,40)="","",INDEX('الأصناف'!$A$3:$A$42,40))</f>
        <v/>
      </c>
      <c r="J45" s="18">
        <f>IF($I45="","",INDEX('الأصناف'!$B$3:$B$42,40))</f>
        <v/>
      </c>
      <c r="K45" s="18">
        <f>IF($I45="","",INDEX('الأصناف'!$F$3:$F$42,40))</f>
        <v/>
      </c>
      <c r="L45" s="24">
        <f>IF($I45="","",SUMPRODUCT('الوصفة'!$AR$7:$AR$66,$B$6:$B$65))</f>
        <v/>
      </c>
      <c r="M45" s="20">
        <f>IF($I45="","",IFERROR($L45/INDEX('الأصناف'!$E$3:$E$42,40),""))</f>
        <v/>
      </c>
      <c r="N45" s="25" t="n"/>
      <c r="O45" s="24">
        <f>IF(OR($I45="",$N45=""),"",$N45*INDEX('الأصناف'!$E$3:$E$42,40)-$L45)</f>
        <v/>
      </c>
      <c r="P45" s="19">
        <f>IF(OR($O45="",$L45=0),"",$O45/$L45)</f>
        <v/>
      </c>
      <c r="Q45" s="20">
        <f>IF($O45="","",MAX(0,$O45)*INDEX('الأصناف'!$G$3:$G$42,40))</f>
        <v/>
      </c>
    </row>
    <row r="46">
      <c r="A46" s="18">
        <f>IF('الوصفة'!$A47="","",'الوصفة'!$A47)</f>
        <v/>
      </c>
      <c r="B46" s="13" t="n"/>
      <c r="C46" s="20">
        <f>IF($A46="","",'الوصفة'!$C47)</f>
        <v/>
      </c>
      <c r="D46" s="20">
        <f>IF(OR($A46="",$B46=""),"",$B46*$C46)</f>
        <v/>
      </c>
      <c r="E46" s="20">
        <f>IF(OR($A46="",$B46=""),"",$B46*SUMPRODUCT('الوصفة'!$E47:$AR47,'الوصفة'!$E$3:$AR$3,'الوصفة'!$E$5:$AR$5))</f>
        <v/>
      </c>
      <c r="F46" s="20">
        <f>IF(OR($A46="",$B46="",$B46=0),"",($D46+$E46)/$B46)</f>
        <v/>
      </c>
      <c r="G46" s="19">
        <f>IF($F46="","",IFERROR($F46/'الوصفة'!$B47,""))</f>
        <v/>
      </c>
      <c r="P46" s="3" t="inlineStr">
        <is>
          <t>الإجمالي</t>
        </is>
      </c>
      <c r="Q46" s="26">
        <f>SUM(Q6:Q45)</f>
        <v/>
      </c>
    </row>
    <row r="47">
      <c r="A47" s="18">
        <f>IF('الوصفة'!$A48="","",'الوصفة'!$A48)</f>
        <v/>
      </c>
      <c r="B47" s="13" t="n"/>
      <c r="C47" s="20">
        <f>IF($A47="","",'الوصفة'!$C48)</f>
        <v/>
      </c>
      <c r="D47" s="20">
        <f>IF(OR($A47="",$B47=""),"",$B47*$C47)</f>
        <v/>
      </c>
      <c r="E47" s="20">
        <f>IF(OR($A47="",$B47=""),"",$B47*SUMPRODUCT('الوصفة'!$E48:$AR48,'الوصفة'!$E$3:$AR$3,'الوصفة'!$E$5:$AR$5))</f>
        <v/>
      </c>
      <c r="F47" s="20">
        <f>IF(OR($A47="",$B47="",$B47=0),"",($D47+$E47)/$B47)</f>
        <v/>
      </c>
      <c r="G47" s="19">
        <f>IF($F47="","",IFERROR($F47/'الوصفة'!$B48,""))</f>
        <v/>
      </c>
    </row>
    <row r="48">
      <c r="A48" s="18">
        <f>IF('الوصفة'!$A49="","",'الوصفة'!$A49)</f>
        <v/>
      </c>
      <c r="B48" s="13" t="n"/>
      <c r="C48" s="20">
        <f>IF($A48="","",'الوصفة'!$C49)</f>
        <v/>
      </c>
      <c r="D48" s="20">
        <f>IF(OR($A48="",$B48=""),"",$B48*$C48)</f>
        <v/>
      </c>
      <c r="E48" s="20">
        <f>IF(OR($A48="",$B48=""),"",$B48*SUMPRODUCT('الوصفة'!$E49:$AR49,'الوصفة'!$E$3:$AR$3,'الوصفة'!$E$5:$AR$5))</f>
        <v/>
      </c>
      <c r="F48" s="20">
        <f>IF(OR($A48="",$B48="",$B48=0),"",($D48+$E48)/$B48)</f>
        <v/>
      </c>
      <c r="G48" s="19">
        <f>IF($F48="","",IFERROR($F48/'الوصفة'!$B49,""))</f>
        <v/>
      </c>
    </row>
    <row r="49">
      <c r="A49" s="18">
        <f>IF('الوصفة'!$A50="","",'الوصفة'!$A50)</f>
        <v/>
      </c>
      <c r="B49" s="13" t="n"/>
      <c r="C49" s="20">
        <f>IF($A49="","",'الوصفة'!$C50)</f>
        <v/>
      </c>
      <c r="D49" s="20">
        <f>IF(OR($A49="",$B49=""),"",$B49*$C49)</f>
        <v/>
      </c>
      <c r="E49" s="20">
        <f>IF(OR($A49="",$B49=""),"",$B49*SUMPRODUCT('الوصفة'!$E50:$AR50,'الوصفة'!$E$3:$AR$3,'الوصفة'!$E$5:$AR$5))</f>
        <v/>
      </c>
      <c r="F49" s="20">
        <f>IF(OR($A49="",$B49="",$B49=0),"",($D49+$E49)/$B49)</f>
        <v/>
      </c>
      <c r="G49" s="19">
        <f>IF($F49="","",IFERROR($F49/'الوصفة'!$B50,""))</f>
        <v/>
      </c>
    </row>
    <row r="50">
      <c r="A50" s="18">
        <f>IF('الوصفة'!$A51="","",'الوصفة'!$A51)</f>
        <v/>
      </c>
      <c r="B50" s="13" t="n"/>
      <c r="C50" s="20">
        <f>IF($A50="","",'الوصفة'!$C51)</f>
        <v/>
      </c>
      <c r="D50" s="20">
        <f>IF(OR($A50="",$B50=""),"",$B50*$C50)</f>
        <v/>
      </c>
      <c r="E50" s="20">
        <f>IF(OR($A50="",$B50=""),"",$B50*SUMPRODUCT('الوصفة'!$E51:$AR51,'الوصفة'!$E$3:$AR$3,'الوصفة'!$E$5:$AR$5))</f>
        <v/>
      </c>
      <c r="F50" s="20">
        <f>IF(OR($A50="",$B50="",$B50=0),"",($D50+$E50)/$B50)</f>
        <v/>
      </c>
      <c r="G50" s="19">
        <f>IF($F50="","",IFERROR($F50/'الوصفة'!$B51,""))</f>
        <v/>
      </c>
    </row>
    <row r="51">
      <c r="A51" s="18">
        <f>IF('الوصفة'!$A52="","",'الوصفة'!$A52)</f>
        <v/>
      </c>
      <c r="B51" s="13" t="n"/>
      <c r="C51" s="20">
        <f>IF($A51="","",'الوصفة'!$C52)</f>
        <v/>
      </c>
      <c r="D51" s="20">
        <f>IF(OR($A51="",$B51=""),"",$B51*$C51)</f>
        <v/>
      </c>
      <c r="E51" s="20">
        <f>IF(OR($A51="",$B51=""),"",$B51*SUMPRODUCT('الوصفة'!$E52:$AR52,'الوصفة'!$E$3:$AR$3,'الوصفة'!$E$5:$AR$5))</f>
        <v/>
      </c>
      <c r="F51" s="20">
        <f>IF(OR($A51="",$B51="",$B51=0),"",($D51+$E51)/$B51)</f>
        <v/>
      </c>
      <c r="G51" s="19">
        <f>IF($F51="","",IFERROR($F51/'الوصفة'!$B52,""))</f>
        <v/>
      </c>
    </row>
    <row r="52">
      <c r="A52" s="18">
        <f>IF('الوصفة'!$A53="","",'الوصفة'!$A53)</f>
        <v/>
      </c>
      <c r="B52" s="13" t="n"/>
      <c r="C52" s="20">
        <f>IF($A52="","",'الوصفة'!$C53)</f>
        <v/>
      </c>
      <c r="D52" s="20">
        <f>IF(OR($A52="",$B52=""),"",$B52*$C52)</f>
        <v/>
      </c>
      <c r="E52" s="20">
        <f>IF(OR($A52="",$B52=""),"",$B52*SUMPRODUCT('الوصفة'!$E53:$AR53,'الوصفة'!$E$3:$AR$3,'الوصفة'!$E$5:$AR$5))</f>
        <v/>
      </c>
      <c r="F52" s="20">
        <f>IF(OR($A52="",$B52="",$B52=0),"",($D52+$E52)/$B52)</f>
        <v/>
      </c>
      <c r="G52" s="19">
        <f>IF($F52="","",IFERROR($F52/'الوصفة'!$B53,""))</f>
        <v/>
      </c>
    </row>
    <row r="53">
      <c r="A53" s="18">
        <f>IF('الوصفة'!$A54="","",'الوصفة'!$A54)</f>
        <v/>
      </c>
      <c r="B53" s="13" t="n"/>
      <c r="C53" s="20">
        <f>IF($A53="","",'الوصفة'!$C54)</f>
        <v/>
      </c>
      <c r="D53" s="20">
        <f>IF(OR($A53="",$B53=""),"",$B53*$C53)</f>
        <v/>
      </c>
      <c r="E53" s="20">
        <f>IF(OR($A53="",$B53=""),"",$B53*SUMPRODUCT('الوصفة'!$E54:$AR54,'الوصفة'!$E$3:$AR$3,'الوصفة'!$E$5:$AR$5))</f>
        <v/>
      </c>
      <c r="F53" s="20">
        <f>IF(OR($A53="",$B53="",$B53=0),"",($D53+$E53)/$B53)</f>
        <v/>
      </c>
      <c r="G53" s="19">
        <f>IF($F53="","",IFERROR($F53/'الوصفة'!$B54,""))</f>
        <v/>
      </c>
    </row>
    <row r="54">
      <c r="A54" s="18">
        <f>IF('الوصفة'!$A55="","",'الوصفة'!$A55)</f>
        <v/>
      </c>
      <c r="B54" s="13" t="n"/>
      <c r="C54" s="20">
        <f>IF($A54="","",'الوصفة'!$C55)</f>
        <v/>
      </c>
      <c r="D54" s="20">
        <f>IF(OR($A54="",$B54=""),"",$B54*$C54)</f>
        <v/>
      </c>
      <c r="E54" s="20">
        <f>IF(OR($A54="",$B54=""),"",$B54*SUMPRODUCT('الوصفة'!$E55:$AR55,'الوصفة'!$E$3:$AR$3,'الوصفة'!$E$5:$AR$5))</f>
        <v/>
      </c>
      <c r="F54" s="20">
        <f>IF(OR($A54="",$B54="",$B54=0),"",($D54+$E54)/$B54)</f>
        <v/>
      </c>
      <c r="G54" s="19">
        <f>IF($F54="","",IFERROR($F54/'الوصفة'!$B55,""))</f>
        <v/>
      </c>
    </row>
    <row r="55">
      <c r="A55" s="18">
        <f>IF('الوصفة'!$A56="","",'الوصفة'!$A56)</f>
        <v/>
      </c>
      <c r="B55" s="13" t="n"/>
      <c r="C55" s="20">
        <f>IF($A55="","",'الوصفة'!$C56)</f>
        <v/>
      </c>
      <c r="D55" s="20">
        <f>IF(OR($A55="",$B55=""),"",$B55*$C55)</f>
        <v/>
      </c>
      <c r="E55" s="20">
        <f>IF(OR($A55="",$B55=""),"",$B55*SUMPRODUCT('الوصفة'!$E56:$AR56,'الوصفة'!$E$3:$AR$3,'الوصفة'!$E$5:$AR$5))</f>
        <v/>
      </c>
      <c r="F55" s="20">
        <f>IF(OR($A55="",$B55="",$B55=0),"",($D55+$E55)/$B55)</f>
        <v/>
      </c>
      <c r="G55" s="19">
        <f>IF($F55="","",IFERROR($F55/'الوصفة'!$B56,""))</f>
        <v/>
      </c>
    </row>
    <row r="56">
      <c r="A56" s="18">
        <f>IF('الوصفة'!$A57="","",'الوصفة'!$A57)</f>
        <v/>
      </c>
      <c r="B56" s="13" t="n"/>
      <c r="C56" s="20">
        <f>IF($A56="","",'الوصفة'!$C57)</f>
        <v/>
      </c>
      <c r="D56" s="20">
        <f>IF(OR($A56="",$B56=""),"",$B56*$C56)</f>
        <v/>
      </c>
      <c r="E56" s="20">
        <f>IF(OR($A56="",$B56=""),"",$B56*SUMPRODUCT('الوصفة'!$E57:$AR57,'الوصفة'!$E$3:$AR$3,'الوصفة'!$E$5:$AR$5))</f>
        <v/>
      </c>
      <c r="F56" s="20">
        <f>IF(OR($A56="",$B56="",$B56=0),"",($D56+$E56)/$B56)</f>
        <v/>
      </c>
      <c r="G56" s="19">
        <f>IF($F56="","",IFERROR($F56/'الوصفة'!$B57,""))</f>
        <v/>
      </c>
    </row>
    <row r="57">
      <c r="A57" s="18">
        <f>IF('الوصفة'!$A58="","",'الوصفة'!$A58)</f>
        <v/>
      </c>
      <c r="B57" s="13" t="n"/>
      <c r="C57" s="20">
        <f>IF($A57="","",'الوصفة'!$C58)</f>
        <v/>
      </c>
      <c r="D57" s="20">
        <f>IF(OR($A57="",$B57=""),"",$B57*$C57)</f>
        <v/>
      </c>
      <c r="E57" s="20">
        <f>IF(OR($A57="",$B57=""),"",$B57*SUMPRODUCT('الوصفة'!$E58:$AR58,'الوصفة'!$E$3:$AR$3,'الوصفة'!$E$5:$AR$5))</f>
        <v/>
      </c>
      <c r="F57" s="20">
        <f>IF(OR($A57="",$B57="",$B57=0),"",($D57+$E57)/$B57)</f>
        <v/>
      </c>
      <c r="G57" s="19">
        <f>IF($F57="","",IFERROR($F57/'الوصفة'!$B58,""))</f>
        <v/>
      </c>
    </row>
    <row r="58">
      <c r="A58" s="18">
        <f>IF('الوصفة'!$A59="","",'الوصفة'!$A59)</f>
        <v/>
      </c>
      <c r="B58" s="13" t="n"/>
      <c r="C58" s="20">
        <f>IF($A58="","",'الوصفة'!$C59)</f>
        <v/>
      </c>
      <c r="D58" s="20">
        <f>IF(OR($A58="",$B58=""),"",$B58*$C58)</f>
        <v/>
      </c>
      <c r="E58" s="20">
        <f>IF(OR($A58="",$B58=""),"",$B58*SUMPRODUCT('الوصفة'!$E59:$AR59,'الوصفة'!$E$3:$AR$3,'الوصفة'!$E$5:$AR$5))</f>
        <v/>
      </c>
      <c r="F58" s="20">
        <f>IF(OR($A58="",$B58="",$B58=0),"",($D58+$E58)/$B58)</f>
        <v/>
      </c>
      <c r="G58" s="19">
        <f>IF($F58="","",IFERROR($F58/'الوصفة'!$B59,""))</f>
        <v/>
      </c>
    </row>
    <row r="59">
      <c r="A59" s="18">
        <f>IF('الوصفة'!$A60="","",'الوصفة'!$A60)</f>
        <v/>
      </c>
      <c r="B59" s="13" t="n"/>
      <c r="C59" s="20">
        <f>IF($A59="","",'الوصفة'!$C60)</f>
        <v/>
      </c>
      <c r="D59" s="20">
        <f>IF(OR($A59="",$B59=""),"",$B59*$C59)</f>
        <v/>
      </c>
      <c r="E59" s="20">
        <f>IF(OR($A59="",$B59=""),"",$B59*SUMPRODUCT('الوصفة'!$E60:$AR60,'الوصفة'!$E$3:$AR$3,'الوصفة'!$E$5:$AR$5))</f>
        <v/>
      </c>
      <c r="F59" s="20">
        <f>IF(OR($A59="",$B59="",$B59=0),"",($D59+$E59)/$B59)</f>
        <v/>
      </c>
      <c r="G59" s="19">
        <f>IF($F59="","",IFERROR($F59/'الوصفة'!$B60,""))</f>
        <v/>
      </c>
    </row>
    <row r="60">
      <c r="A60" s="18">
        <f>IF('الوصفة'!$A61="","",'الوصفة'!$A61)</f>
        <v/>
      </c>
      <c r="B60" s="13" t="n"/>
      <c r="C60" s="20">
        <f>IF($A60="","",'الوصفة'!$C61)</f>
        <v/>
      </c>
      <c r="D60" s="20">
        <f>IF(OR($A60="",$B60=""),"",$B60*$C60)</f>
        <v/>
      </c>
      <c r="E60" s="20">
        <f>IF(OR($A60="",$B60=""),"",$B60*SUMPRODUCT('الوصفة'!$E61:$AR61,'الوصفة'!$E$3:$AR$3,'الوصفة'!$E$5:$AR$5))</f>
        <v/>
      </c>
      <c r="F60" s="20">
        <f>IF(OR($A60="",$B60="",$B60=0),"",($D60+$E60)/$B60)</f>
        <v/>
      </c>
      <c r="G60" s="19">
        <f>IF($F60="","",IFERROR($F60/'الوصفة'!$B61,""))</f>
        <v/>
      </c>
    </row>
    <row r="61">
      <c r="A61" s="18">
        <f>IF('الوصفة'!$A62="","",'الوصفة'!$A62)</f>
        <v/>
      </c>
      <c r="B61" s="13" t="n"/>
      <c r="C61" s="20">
        <f>IF($A61="","",'الوصفة'!$C62)</f>
        <v/>
      </c>
      <c r="D61" s="20">
        <f>IF(OR($A61="",$B61=""),"",$B61*$C61)</f>
        <v/>
      </c>
      <c r="E61" s="20">
        <f>IF(OR($A61="",$B61=""),"",$B61*SUMPRODUCT('الوصفة'!$E62:$AR62,'الوصفة'!$E$3:$AR$3,'الوصفة'!$E$5:$AR$5))</f>
        <v/>
      </c>
      <c r="F61" s="20">
        <f>IF(OR($A61="",$B61="",$B61=0),"",($D61+$E61)/$B61)</f>
        <v/>
      </c>
      <c r="G61" s="19">
        <f>IF($F61="","",IFERROR($F61/'الوصفة'!$B62,""))</f>
        <v/>
      </c>
    </row>
    <row r="62">
      <c r="A62" s="18">
        <f>IF('الوصفة'!$A63="","",'الوصفة'!$A63)</f>
        <v/>
      </c>
      <c r="B62" s="13" t="n"/>
      <c r="C62" s="20">
        <f>IF($A62="","",'الوصفة'!$C63)</f>
        <v/>
      </c>
      <c r="D62" s="20">
        <f>IF(OR($A62="",$B62=""),"",$B62*$C62)</f>
        <v/>
      </c>
      <c r="E62" s="20">
        <f>IF(OR($A62="",$B62=""),"",$B62*SUMPRODUCT('الوصفة'!$E63:$AR63,'الوصفة'!$E$3:$AR$3,'الوصفة'!$E$5:$AR$5))</f>
        <v/>
      </c>
      <c r="F62" s="20">
        <f>IF(OR($A62="",$B62="",$B62=0),"",($D62+$E62)/$B62)</f>
        <v/>
      </c>
      <c r="G62" s="19">
        <f>IF($F62="","",IFERROR($F62/'الوصفة'!$B63,""))</f>
        <v/>
      </c>
    </row>
    <row r="63">
      <c r="A63" s="18">
        <f>IF('الوصفة'!$A64="","",'الوصفة'!$A64)</f>
        <v/>
      </c>
      <c r="B63" s="13" t="n"/>
      <c r="C63" s="20">
        <f>IF($A63="","",'الوصفة'!$C64)</f>
        <v/>
      </c>
      <c r="D63" s="20">
        <f>IF(OR($A63="",$B63=""),"",$B63*$C63)</f>
        <v/>
      </c>
      <c r="E63" s="20">
        <f>IF(OR($A63="",$B63=""),"",$B63*SUMPRODUCT('الوصفة'!$E64:$AR64,'الوصفة'!$E$3:$AR$3,'الوصفة'!$E$5:$AR$5))</f>
        <v/>
      </c>
      <c r="F63" s="20">
        <f>IF(OR($A63="",$B63="",$B63=0),"",($D63+$E63)/$B63)</f>
        <v/>
      </c>
      <c r="G63" s="19">
        <f>IF($F63="","",IFERROR($F63/'الوصفة'!$B64,""))</f>
        <v/>
      </c>
    </row>
    <row r="64">
      <c r="A64" s="18">
        <f>IF('الوصفة'!$A65="","",'الوصفة'!$A65)</f>
        <v/>
      </c>
      <c r="B64" s="13" t="n"/>
      <c r="C64" s="20">
        <f>IF($A64="","",'الوصفة'!$C65)</f>
        <v/>
      </c>
      <c r="D64" s="20">
        <f>IF(OR($A64="",$B64=""),"",$B64*$C64)</f>
        <v/>
      </c>
      <c r="E64" s="20">
        <f>IF(OR($A64="",$B64=""),"",$B64*SUMPRODUCT('الوصفة'!$E65:$AR65,'الوصفة'!$E$3:$AR$3,'الوصفة'!$E$5:$AR$5))</f>
        <v/>
      </c>
      <c r="F64" s="20">
        <f>IF(OR($A64="",$B64="",$B64=0),"",($D64+$E64)/$B64)</f>
        <v/>
      </c>
      <c r="G64" s="19">
        <f>IF($F64="","",IFERROR($F64/'الوصفة'!$B65,""))</f>
        <v/>
      </c>
    </row>
    <row r="65">
      <c r="A65" s="18">
        <f>IF('الوصفة'!$A66="","",'الوصفة'!$A66)</f>
        <v/>
      </c>
      <c r="B65" s="13" t="n"/>
      <c r="C65" s="20">
        <f>IF($A65="","",'الوصفة'!$C66)</f>
        <v/>
      </c>
      <c r="D65" s="20">
        <f>IF(OR($A65="",$B65=""),"",$B65*$C65)</f>
        <v/>
      </c>
      <c r="E65" s="20">
        <f>IF(OR($A65="",$B65=""),"",$B65*SUMPRODUCT('الوصفة'!$E66:$AR66,'الوصفة'!$E$3:$AR$3,'الوصفة'!$E$5:$AR$5))</f>
        <v/>
      </c>
      <c r="F65" s="20">
        <f>IF(OR($A65="",$B65="",$B65=0),"",($D65+$E65)/$B65)</f>
        <v/>
      </c>
      <c r="G65" s="19">
        <f>IF($F65="","",IFERROR($F65/'الوصفة'!$B66,""))</f>
        <v/>
      </c>
    </row>
    <row r="66">
      <c r="A66" s="3" t="inlineStr">
        <is>
          <t>الإجمالي</t>
        </is>
      </c>
      <c r="D66" s="26">
        <f>SUM(D6:D65)</f>
        <v/>
      </c>
      <c r="E66" s="26">
        <f>SUM(E6:E65)</f>
        <v/>
      </c>
    </row>
    <row r="68">
      <c r="A68" s="2" t="inlineStr">
        <is>
          <t>الأحمر: صنف تجاوز الوصفة بأكثر من حد التنبيه في الإعدادات. الأصفر: خدمة يتجاوز هدرها الحد نفسه من تكلفتها.</t>
        </is>
      </c>
    </row>
    <row r="70">
      <c r="A70" s="9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70:G70"/>
  </mergeCells>
  <conditionalFormatting sqref="E6:E65">
    <cfRule type="expression" priority="1" dxfId="1">
      <formula>AND(ISNUMBER($E6),ISNUMBER($D6),$D6&gt;0,$E6/$D6&gt;='الإعدادات'!$B$7)</formula>
    </cfRule>
  </conditionalFormatting>
  <conditionalFormatting sqref="I6:Q45">
    <cfRule type="expression" priority="2" dxfId="0">
      <formula>AND(ISNUMBER($P6),$P6&gt;='الإعدادات'!$B$7)</formula>
    </cfRule>
  </conditionalFormatting>
  <hyperlinks>
    <hyperlink xmlns:r="http://schemas.openxmlformats.org/officeDocument/2006/relationships" ref="A70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consumables-per-service</dc:title>
  <dcterms:created xmlns:dcterms="http://purl.org/dc/terms/" xmlns:xsi="http://www.w3.org/2001/XMLSchema-instance" xsi:type="dcterms:W3CDTF">2026-10-05T11:08:46Z</dcterms:created>
  <dcterms:modified xmlns:dcterms="http://purl.org/dc/terms/" xmlns:xsi="http://www.w3.org/2001/XMLSchema-instance" xsi:type="dcterms:W3CDTF">2026-10-05T11:08:46Z</dcterms:modified>
</cp:coreProperties>
</file>